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2"/>
  </bookViews>
  <sheets>
    <sheet name="Питание детей 1-4 кл. (бесп.) " sheetId="4" r:id="rId1"/>
    <sheet name="Питание детей с ОВЗ (бесп.)" sheetId="1" r:id="rId2"/>
    <sheet name="Питание детей 5-11 кл. (бесп.)" sheetId="7" r:id="rId3"/>
    <sheet name="Питание детей 5-11 кл. (плат.)" sheetId="8" r:id="rId4"/>
    <sheet name="Питание детей с ДОУ" sheetId="9" r:id="rId5"/>
  </sheets>
  <calcPr calcId="152511"/>
</workbook>
</file>

<file path=xl/calcChain.xml><?xml version="1.0" encoding="utf-8"?>
<calcChain xmlns="http://schemas.openxmlformats.org/spreadsheetml/2006/main">
  <c r="C13" i="4" l="1"/>
  <c r="D53" i="8" l="1"/>
  <c r="E53" i="8"/>
  <c r="F53" i="8"/>
  <c r="G53" i="8"/>
  <c r="D53" i="7"/>
  <c r="E53" i="7"/>
  <c r="F53" i="7"/>
  <c r="G53" i="7"/>
  <c r="D114" i="7"/>
  <c r="E114" i="7"/>
  <c r="F114" i="7"/>
  <c r="G114" i="7"/>
  <c r="G285" i="1"/>
  <c r="F285" i="1"/>
  <c r="E285" i="1"/>
  <c r="D285" i="1"/>
  <c r="G20" i="4"/>
  <c r="G131" i="4" l="1"/>
  <c r="F131" i="4"/>
  <c r="E131" i="4"/>
  <c r="D131" i="4"/>
  <c r="G112" i="4"/>
  <c r="F112" i="4"/>
  <c r="E112" i="4"/>
  <c r="D112" i="4"/>
  <c r="D56" i="4"/>
  <c r="E56" i="4"/>
  <c r="F56" i="4"/>
  <c r="G56" i="4"/>
  <c r="G54" i="4"/>
  <c r="F54" i="4"/>
  <c r="E54" i="4"/>
  <c r="D54" i="4"/>
  <c r="G40" i="4"/>
  <c r="F40" i="4"/>
  <c r="E40" i="4"/>
  <c r="D40" i="4"/>
  <c r="D8" i="4"/>
  <c r="E8" i="4"/>
  <c r="F8" i="4"/>
  <c r="G8" i="4"/>
  <c r="D25" i="4"/>
  <c r="E25" i="4"/>
  <c r="F25" i="4"/>
  <c r="G25" i="4"/>
  <c r="D19" i="4"/>
  <c r="E19" i="4"/>
  <c r="F19" i="4"/>
  <c r="G19" i="4"/>
  <c r="F20" i="4"/>
  <c r="E20" i="4"/>
  <c r="D20" i="4"/>
  <c r="G165" i="9" l="1"/>
  <c r="F165" i="9"/>
  <c r="E165" i="9"/>
  <c r="D165" i="9"/>
  <c r="F144" i="1"/>
  <c r="C136" i="7"/>
  <c r="C136" i="8"/>
  <c r="C272" i="1"/>
  <c r="C136" i="4"/>
  <c r="E353" i="9"/>
  <c r="D353" i="9"/>
  <c r="C353" i="9"/>
  <c r="G353" i="9"/>
  <c r="F353" i="9"/>
  <c r="C346" i="9"/>
  <c r="G345" i="9"/>
  <c r="F345" i="9"/>
  <c r="E345" i="9"/>
  <c r="D345" i="9"/>
  <c r="G344" i="9"/>
  <c r="F344" i="9"/>
  <c r="E344" i="9"/>
  <c r="D344" i="9"/>
  <c r="G343" i="9"/>
  <c r="F343" i="9"/>
  <c r="E343" i="9"/>
  <c r="D343" i="9"/>
  <c r="G342" i="9"/>
  <c r="F342" i="9"/>
  <c r="E342" i="9"/>
  <c r="D342" i="9"/>
  <c r="G341" i="9"/>
  <c r="F341" i="9"/>
  <c r="E341" i="9"/>
  <c r="D341" i="9"/>
  <c r="G340" i="9"/>
  <c r="G346" i="9" s="1"/>
  <c r="F340" i="9"/>
  <c r="E340" i="9"/>
  <c r="E346" i="9" s="1"/>
  <c r="D340" i="9"/>
  <c r="G335" i="9"/>
  <c r="F335" i="9"/>
  <c r="E335" i="9"/>
  <c r="D335" i="9"/>
  <c r="G334" i="9"/>
  <c r="F334" i="9"/>
  <c r="E334" i="9"/>
  <c r="D334" i="9"/>
  <c r="C329" i="9"/>
  <c r="G328" i="9"/>
  <c r="F328" i="9"/>
  <c r="E328" i="9"/>
  <c r="D328" i="9"/>
  <c r="G327" i="9"/>
  <c r="F327" i="9"/>
  <c r="E327" i="9"/>
  <c r="D327" i="9"/>
  <c r="G329" i="9"/>
  <c r="F329" i="9"/>
  <c r="E329" i="9"/>
  <c r="G315" i="9"/>
  <c r="F315" i="9"/>
  <c r="E315" i="9"/>
  <c r="D315" i="9"/>
  <c r="D314" i="9"/>
  <c r="E314" i="9"/>
  <c r="G314" i="9"/>
  <c r="F314" i="9"/>
  <c r="C317" i="9"/>
  <c r="G316" i="9"/>
  <c r="F316" i="9"/>
  <c r="E316" i="9"/>
  <c r="D316" i="9"/>
  <c r="C309" i="9"/>
  <c r="G308" i="9"/>
  <c r="F308" i="9"/>
  <c r="E308" i="9"/>
  <c r="D308" i="9"/>
  <c r="G307" i="9"/>
  <c r="F307" i="9"/>
  <c r="E307" i="9"/>
  <c r="D307" i="9"/>
  <c r="G305" i="9"/>
  <c r="F305" i="9"/>
  <c r="E305" i="9"/>
  <c r="D305" i="9"/>
  <c r="G298" i="9"/>
  <c r="F298" i="9"/>
  <c r="E298" i="9"/>
  <c r="D298" i="9"/>
  <c r="G297" i="9"/>
  <c r="F297" i="9"/>
  <c r="E297" i="9"/>
  <c r="D297" i="9"/>
  <c r="C292" i="9"/>
  <c r="G291" i="9"/>
  <c r="F291" i="9"/>
  <c r="E291" i="9"/>
  <c r="D291" i="9"/>
  <c r="G290" i="9"/>
  <c r="F290" i="9"/>
  <c r="E290" i="9"/>
  <c r="D290" i="9"/>
  <c r="G289" i="9"/>
  <c r="G292" i="9" s="1"/>
  <c r="F289" i="9"/>
  <c r="F292" i="9" s="1"/>
  <c r="E289" i="9"/>
  <c r="E292" i="9" s="1"/>
  <c r="D289" i="9"/>
  <c r="D292" i="9" s="1"/>
  <c r="G280" i="9"/>
  <c r="F280" i="9"/>
  <c r="E280" i="9"/>
  <c r="D280" i="9"/>
  <c r="C282" i="9"/>
  <c r="G281" i="9"/>
  <c r="F281" i="9"/>
  <c r="E281" i="9"/>
  <c r="D281" i="9"/>
  <c r="C275" i="9"/>
  <c r="G274" i="9"/>
  <c r="F274" i="9"/>
  <c r="E274" i="9"/>
  <c r="D274" i="9"/>
  <c r="G273" i="9"/>
  <c r="F273" i="9"/>
  <c r="E273" i="9"/>
  <c r="D273" i="9"/>
  <c r="G272" i="9"/>
  <c r="F272" i="9"/>
  <c r="E272" i="9"/>
  <c r="D272" i="9"/>
  <c r="G271" i="9"/>
  <c r="F271" i="9"/>
  <c r="E271" i="9"/>
  <c r="D271" i="9"/>
  <c r="G268" i="9"/>
  <c r="G275" i="9" s="1"/>
  <c r="F268" i="9"/>
  <c r="E268" i="9"/>
  <c r="D268" i="9"/>
  <c r="G263" i="9"/>
  <c r="F263" i="9"/>
  <c r="E263" i="9"/>
  <c r="D263" i="9"/>
  <c r="G262" i="9"/>
  <c r="F262" i="9"/>
  <c r="E262" i="9"/>
  <c r="D262" i="9"/>
  <c r="C257" i="9"/>
  <c r="G256" i="9"/>
  <c r="F256" i="9"/>
  <c r="E256" i="9"/>
  <c r="D256" i="9"/>
  <c r="G255" i="9"/>
  <c r="F255" i="9"/>
  <c r="E255" i="9"/>
  <c r="D255" i="9"/>
  <c r="G254" i="9"/>
  <c r="G257" i="9" s="1"/>
  <c r="F254" i="9"/>
  <c r="F257" i="9" s="1"/>
  <c r="E254" i="9"/>
  <c r="D254" i="9"/>
  <c r="D257" i="9" s="1"/>
  <c r="C246" i="9"/>
  <c r="G245" i="9"/>
  <c r="F245" i="9"/>
  <c r="E245" i="9"/>
  <c r="D245" i="9"/>
  <c r="G244" i="9"/>
  <c r="G246" i="9" s="1"/>
  <c r="F244" i="9"/>
  <c r="F246" i="9" s="1"/>
  <c r="E244" i="9"/>
  <c r="E246" i="9" s="1"/>
  <c r="D244" i="9"/>
  <c r="D246" i="9" s="1"/>
  <c r="C239" i="9"/>
  <c r="G238" i="9"/>
  <c r="F238" i="9"/>
  <c r="E238" i="9"/>
  <c r="D238" i="9"/>
  <c r="G237" i="9"/>
  <c r="F237" i="9"/>
  <c r="E237" i="9"/>
  <c r="D237" i="9"/>
  <c r="G236" i="9"/>
  <c r="F236" i="9"/>
  <c r="E236" i="9"/>
  <c r="D236" i="9"/>
  <c r="G235" i="9"/>
  <c r="F235" i="9"/>
  <c r="E235" i="9"/>
  <c r="D235" i="9"/>
  <c r="G234" i="9"/>
  <c r="F234" i="9"/>
  <c r="E234" i="9"/>
  <c r="D234" i="9"/>
  <c r="G233" i="9"/>
  <c r="F233" i="9"/>
  <c r="E233" i="9"/>
  <c r="D233" i="9"/>
  <c r="G232" i="9"/>
  <c r="G239" i="9" s="1"/>
  <c r="F232" i="9"/>
  <c r="E232" i="9"/>
  <c r="E239" i="9" s="1"/>
  <c r="D232" i="9"/>
  <c r="D239" i="9" s="1"/>
  <c r="G227" i="9"/>
  <c r="F227" i="9"/>
  <c r="E227" i="9"/>
  <c r="D227" i="9"/>
  <c r="G226" i="9"/>
  <c r="F226" i="9"/>
  <c r="E226" i="9"/>
  <c r="D226" i="9"/>
  <c r="C221" i="9"/>
  <c r="G220" i="9"/>
  <c r="F220" i="9"/>
  <c r="E220" i="9"/>
  <c r="D220" i="9"/>
  <c r="G219" i="9"/>
  <c r="F219" i="9"/>
  <c r="E219" i="9"/>
  <c r="D219" i="9"/>
  <c r="G218" i="9"/>
  <c r="G221" i="9" s="1"/>
  <c r="F218" i="9"/>
  <c r="F221" i="9" s="1"/>
  <c r="E218" i="9"/>
  <c r="D218" i="9"/>
  <c r="D221" i="9" s="1"/>
  <c r="C211" i="9"/>
  <c r="G210" i="9"/>
  <c r="F210" i="9"/>
  <c r="E210" i="9"/>
  <c r="D210" i="9"/>
  <c r="G209" i="9"/>
  <c r="G211" i="9" s="1"/>
  <c r="F209" i="9"/>
  <c r="F211" i="9" s="1"/>
  <c r="E209" i="9"/>
  <c r="D209" i="9"/>
  <c r="D211" i="9" s="1"/>
  <c r="C204" i="9"/>
  <c r="G203" i="9"/>
  <c r="F203" i="9"/>
  <c r="E203" i="9"/>
  <c r="D203" i="9"/>
  <c r="G202" i="9"/>
  <c r="F202" i="9"/>
  <c r="E202" i="9"/>
  <c r="D202" i="9"/>
  <c r="G201" i="9"/>
  <c r="F201" i="9"/>
  <c r="E201" i="9"/>
  <c r="D201" i="9"/>
  <c r="G200" i="9"/>
  <c r="F200" i="9"/>
  <c r="E200" i="9"/>
  <c r="D200" i="9"/>
  <c r="G199" i="9"/>
  <c r="F199" i="9"/>
  <c r="E199" i="9"/>
  <c r="D199" i="9"/>
  <c r="G198" i="9"/>
  <c r="G204" i="9" s="1"/>
  <c r="F198" i="9"/>
  <c r="F204" i="9" s="1"/>
  <c r="E198" i="9"/>
  <c r="D198" i="9"/>
  <c r="D204" i="9" s="1"/>
  <c r="G193" i="9"/>
  <c r="F193" i="9"/>
  <c r="E193" i="9"/>
  <c r="D193" i="9"/>
  <c r="G192" i="9"/>
  <c r="F192" i="9"/>
  <c r="E192" i="9"/>
  <c r="D192" i="9"/>
  <c r="C187" i="9"/>
  <c r="G186" i="9"/>
  <c r="F186" i="9"/>
  <c r="E186" i="9"/>
  <c r="D186" i="9"/>
  <c r="G185" i="9"/>
  <c r="F185" i="9"/>
  <c r="E185" i="9"/>
  <c r="D185" i="9"/>
  <c r="G184" i="9"/>
  <c r="G187" i="9" s="1"/>
  <c r="F184" i="9"/>
  <c r="E184" i="9"/>
  <c r="E187" i="9" s="1"/>
  <c r="D184" i="9"/>
  <c r="D187" i="9" s="1"/>
  <c r="C149" i="1"/>
  <c r="C170" i="9"/>
  <c r="F177" i="9"/>
  <c r="E177" i="9"/>
  <c r="C177" i="9"/>
  <c r="G177" i="9"/>
  <c r="D177" i="9"/>
  <c r="G169" i="9"/>
  <c r="F169" i="9"/>
  <c r="E169" i="9"/>
  <c r="D169" i="9"/>
  <c r="G168" i="9"/>
  <c r="F168" i="9"/>
  <c r="E168" i="9"/>
  <c r="D168" i="9"/>
  <c r="G166" i="9"/>
  <c r="F166" i="9"/>
  <c r="E166" i="9"/>
  <c r="D166" i="9"/>
  <c r="G164" i="9"/>
  <c r="F164" i="9"/>
  <c r="E164" i="9"/>
  <c r="D164" i="9"/>
  <c r="G163" i="9"/>
  <c r="F163" i="9"/>
  <c r="E163" i="9"/>
  <c r="D163" i="9"/>
  <c r="G158" i="9"/>
  <c r="F158" i="9"/>
  <c r="E158" i="9"/>
  <c r="D158" i="9"/>
  <c r="G157" i="9"/>
  <c r="F157" i="9"/>
  <c r="E157" i="9"/>
  <c r="D157" i="9"/>
  <c r="C152" i="9"/>
  <c r="G151" i="9"/>
  <c r="F151" i="9"/>
  <c r="E151" i="9"/>
  <c r="D151" i="9"/>
  <c r="G150" i="9"/>
  <c r="F150" i="9"/>
  <c r="E150" i="9"/>
  <c r="D150" i="9"/>
  <c r="G149" i="9"/>
  <c r="F149" i="9"/>
  <c r="F152" i="9" s="1"/>
  <c r="E149" i="9"/>
  <c r="E152" i="9" s="1"/>
  <c r="D149" i="9"/>
  <c r="G140" i="9"/>
  <c r="F140" i="9"/>
  <c r="E140" i="9"/>
  <c r="D140" i="9"/>
  <c r="D104" i="9"/>
  <c r="C142" i="9"/>
  <c r="G141" i="9"/>
  <c r="F141" i="9"/>
  <c r="E141" i="9"/>
  <c r="E142" i="9" s="1"/>
  <c r="D141" i="9"/>
  <c r="C135" i="9"/>
  <c r="G134" i="9"/>
  <c r="F134" i="9"/>
  <c r="E134" i="9"/>
  <c r="D134" i="9"/>
  <c r="G133" i="9"/>
  <c r="F133" i="9"/>
  <c r="E133" i="9"/>
  <c r="D133" i="9"/>
  <c r="G132" i="9"/>
  <c r="F132" i="9"/>
  <c r="E132" i="9"/>
  <c r="D132" i="9"/>
  <c r="G131" i="9"/>
  <c r="F131" i="9"/>
  <c r="E131" i="9"/>
  <c r="D131" i="9"/>
  <c r="G130" i="9"/>
  <c r="F130" i="9"/>
  <c r="E130" i="9"/>
  <c r="D130" i="9"/>
  <c r="G129" i="9"/>
  <c r="F129" i="9"/>
  <c r="E129" i="9"/>
  <c r="D129" i="9"/>
  <c r="G127" i="9"/>
  <c r="G135" i="9" s="1"/>
  <c r="F127" i="9"/>
  <c r="E127" i="9"/>
  <c r="D127" i="9"/>
  <c r="G122" i="9"/>
  <c r="F122" i="9"/>
  <c r="E122" i="9"/>
  <c r="D122" i="9"/>
  <c r="G121" i="9"/>
  <c r="F121" i="9"/>
  <c r="E121" i="9"/>
  <c r="D121" i="9"/>
  <c r="C116" i="9"/>
  <c r="G115" i="9"/>
  <c r="F115" i="9"/>
  <c r="E115" i="9"/>
  <c r="D115" i="9"/>
  <c r="G114" i="9"/>
  <c r="F114" i="9"/>
  <c r="E114" i="9"/>
  <c r="D114" i="9"/>
  <c r="G113" i="9"/>
  <c r="G116" i="9" s="1"/>
  <c r="F113" i="9"/>
  <c r="F116" i="9" s="1"/>
  <c r="E113" i="9"/>
  <c r="D113" i="9"/>
  <c r="D116" i="9" s="1"/>
  <c r="G104" i="9"/>
  <c r="F104" i="9"/>
  <c r="E104" i="9"/>
  <c r="G105" i="9"/>
  <c r="F105" i="9"/>
  <c r="E105" i="9"/>
  <c r="D105" i="9"/>
  <c r="C106" i="9"/>
  <c r="C99" i="9"/>
  <c r="G98" i="9"/>
  <c r="F98" i="9"/>
  <c r="E98" i="9"/>
  <c r="D98" i="9"/>
  <c r="G97" i="9"/>
  <c r="F97" i="9"/>
  <c r="E97" i="9"/>
  <c r="D97" i="9"/>
  <c r="G96" i="9"/>
  <c r="F96" i="9"/>
  <c r="E96" i="9"/>
  <c r="D96" i="9"/>
  <c r="G95" i="9"/>
  <c r="F95" i="9"/>
  <c r="E95" i="9"/>
  <c r="D95" i="9"/>
  <c r="G94" i="9"/>
  <c r="F94" i="9"/>
  <c r="F99" i="9" s="1"/>
  <c r="E94" i="9"/>
  <c r="E99" i="9" s="1"/>
  <c r="D94" i="9"/>
  <c r="G87" i="9"/>
  <c r="F87" i="9"/>
  <c r="E87" i="9"/>
  <c r="D87" i="9"/>
  <c r="G86" i="9"/>
  <c r="F86" i="9"/>
  <c r="E86" i="9"/>
  <c r="D86" i="9"/>
  <c r="D275" i="9" l="1"/>
  <c r="F275" i="9"/>
  <c r="G317" i="9"/>
  <c r="G282" i="9"/>
  <c r="G284" i="9" s="1"/>
  <c r="D329" i="9"/>
  <c r="D346" i="9"/>
  <c r="D355" i="9" s="1"/>
  <c r="F346" i="9"/>
  <c r="C355" i="9"/>
  <c r="F355" i="9"/>
  <c r="E355" i="9"/>
  <c r="G355" i="9"/>
  <c r="E211" i="9"/>
  <c r="D170" i="9"/>
  <c r="D213" i="9"/>
  <c r="G152" i="9"/>
  <c r="E170" i="9"/>
  <c r="E179" i="9" s="1"/>
  <c r="G213" i="9"/>
  <c r="F317" i="9"/>
  <c r="E309" i="9"/>
  <c r="D317" i="9"/>
  <c r="C319" i="9"/>
  <c r="G170" i="9"/>
  <c r="E204" i="9"/>
  <c r="C213" i="9"/>
  <c r="F170" i="9"/>
  <c r="F179" i="9" s="1"/>
  <c r="E282" i="9"/>
  <c r="E317" i="9"/>
  <c r="G142" i="9"/>
  <c r="G144" i="9" s="1"/>
  <c r="D282" i="9"/>
  <c r="D284" i="9" s="1"/>
  <c r="G106" i="9"/>
  <c r="F142" i="9"/>
  <c r="E221" i="9"/>
  <c r="E248" i="9" s="1"/>
  <c r="E106" i="9"/>
  <c r="E116" i="9"/>
  <c r="C144" i="9"/>
  <c r="D142" i="9"/>
  <c r="F239" i="9"/>
  <c r="F248" i="9" s="1"/>
  <c r="E275" i="9"/>
  <c r="F282" i="9"/>
  <c r="E257" i="9"/>
  <c r="D309" i="9"/>
  <c r="F309" i="9"/>
  <c r="D152" i="9"/>
  <c r="G309" i="9"/>
  <c r="C284" i="9"/>
  <c r="G248" i="9"/>
  <c r="D248" i="9"/>
  <c r="C248" i="9"/>
  <c r="F187" i="9"/>
  <c r="F213" i="9" s="1"/>
  <c r="C179" i="9"/>
  <c r="D135" i="9"/>
  <c r="F135" i="9"/>
  <c r="D99" i="9"/>
  <c r="E135" i="9"/>
  <c r="G99" i="9"/>
  <c r="F106" i="9"/>
  <c r="D106" i="9"/>
  <c r="C81" i="9"/>
  <c r="C108" i="9" s="1"/>
  <c r="G80" i="9"/>
  <c r="F80" i="9"/>
  <c r="E80" i="9"/>
  <c r="D80" i="9"/>
  <c r="G79" i="9"/>
  <c r="F79" i="9"/>
  <c r="E79" i="9"/>
  <c r="D79" i="9"/>
  <c r="G78" i="9"/>
  <c r="G81" i="9" s="1"/>
  <c r="F78" i="9"/>
  <c r="F81" i="9" s="1"/>
  <c r="E78" i="9"/>
  <c r="D78" i="9"/>
  <c r="D81" i="9" s="1"/>
  <c r="G66" i="9"/>
  <c r="F66" i="9"/>
  <c r="E66" i="9"/>
  <c r="D66" i="9"/>
  <c r="F284" i="9" l="1"/>
  <c r="G319" i="9"/>
  <c r="E81" i="9"/>
  <c r="D108" i="9"/>
  <c r="E213" i="9"/>
  <c r="E319" i="9"/>
  <c r="G179" i="9"/>
  <c r="D179" i="9"/>
  <c r="F319" i="9"/>
  <c r="E144" i="9"/>
  <c r="F108" i="9"/>
  <c r="E284" i="9"/>
  <c r="D319" i="9"/>
  <c r="D144" i="9"/>
  <c r="E108" i="9"/>
  <c r="F144" i="9"/>
  <c r="G108" i="9"/>
  <c r="G67" i="9"/>
  <c r="G68" i="9" s="1"/>
  <c r="F67" i="9"/>
  <c r="F68" i="9" s="1"/>
  <c r="E67" i="9"/>
  <c r="E68" i="9" s="1"/>
  <c r="D67" i="9"/>
  <c r="D68" i="9" s="1"/>
  <c r="C68" i="9"/>
  <c r="C62" i="9"/>
  <c r="G61" i="9"/>
  <c r="F61" i="9"/>
  <c r="E61" i="9"/>
  <c r="D61" i="9"/>
  <c r="G60" i="9"/>
  <c r="F60" i="9"/>
  <c r="E60" i="9"/>
  <c r="D60" i="9"/>
  <c r="G59" i="9"/>
  <c r="F59" i="9"/>
  <c r="E59" i="9"/>
  <c r="D59" i="9"/>
  <c r="G58" i="9"/>
  <c r="F58" i="9"/>
  <c r="E58" i="9"/>
  <c r="D58" i="9"/>
  <c r="G57" i="9"/>
  <c r="F57" i="9"/>
  <c r="E57" i="9"/>
  <c r="D57" i="9"/>
  <c r="G55" i="9"/>
  <c r="F55" i="9"/>
  <c r="E55" i="9"/>
  <c r="D55" i="9"/>
  <c r="G50" i="9"/>
  <c r="F50" i="9"/>
  <c r="E50" i="9"/>
  <c r="D50" i="9"/>
  <c r="G49" i="9"/>
  <c r="F49" i="9"/>
  <c r="E49" i="9"/>
  <c r="D49" i="9"/>
  <c r="C44" i="9"/>
  <c r="G43" i="9"/>
  <c r="F43" i="9"/>
  <c r="E43" i="9"/>
  <c r="D43" i="9"/>
  <c r="G42" i="9"/>
  <c r="F42" i="9"/>
  <c r="E42" i="9"/>
  <c r="D42" i="9"/>
  <c r="G41" i="9"/>
  <c r="G44" i="9" s="1"/>
  <c r="F41" i="9"/>
  <c r="E41" i="9"/>
  <c r="D41" i="9"/>
  <c r="D44" i="9" s="1"/>
  <c r="G40" i="9"/>
  <c r="F40" i="9"/>
  <c r="E40" i="9"/>
  <c r="D40" i="9"/>
  <c r="C33" i="9"/>
  <c r="G31" i="9"/>
  <c r="F31" i="9"/>
  <c r="E31" i="9"/>
  <c r="D31" i="9"/>
  <c r="G32" i="9"/>
  <c r="F32" i="9"/>
  <c r="E32" i="9"/>
  <c r="D32" i="9"/>
  <c r="G15" i="9"/>
  <c r="F15" i="9"/>
  <c r="E15" i="9"/>
  <c r="D15" i="9"/>
  <c r="G14" i="9"/>
  <c r="F14" i="9"/>
  <c r="E14" i="9"/>
  <c r="D14" i="9"/>
  <c r="C26" i="9"/>
  <c r="G25" i="9"/>
  <c r="F25" i="9"/>
  <c r="E25" i="9"/>
  <c r="D25" i="9"/>
  <c r="G24" i="9"/>
  <c r="F24" i="9"/>
  <c r="E24" i="9"/>
  <c r="D24" i="9"/>
  <c r="G23" i="9"/>
  <c r="F23" i="9"/>
  <c r="E23" i="9"/>
  <c r="D23" i="9"/>
  <c r="G22" i="9"/>
  <c r="F22" i="9"/>
  <c r="E22" i="9"/>
  <c r="D22" i="9"/>
  <c r="G21" i="9"/>
  <c r="F21" i="9"/>
  <c r="E21" i="9"/>
  <c r="D21" i="9"/>
  <c r="D26" i="9" s="1"/>
  <c r="G26" i="9"/>
  <c r="E26" i="9"/>
  <c r="C9" i="9"/>
  <c r="G8" i="9"/>
  <c r="F8" i="9"/>
  <c r="E8" i="9"/>
  <c r="D8" i="9"/>
  <c r="G7" i="9"/>
  <c r="F7" i="9"/>
  <c r="E7" i="9"/>
  <c r="D7" i="9"/>
  <c r="G6" i="9"/>
  <c r="F6" i="9"/>
  <c r="F9" i="9" s="1"/>
  <c r="E6" i="9"/>
  <c r="D6" i="9"/>
  <c r="D9" i="9" s="1"/>
  <c r="C148" i="8"/>
  <c r="G147" i="8"/>
  <c r="F147" i="8"/>
  <c r="E147" i="8"/>
  <c r="D147" i="8"/>
  <c r="G146" i="8"/>
  <c r="F146" i="8"/>
  <c r="E146" i="8"/>
  <c r="D146" i="8"/>
  <c r="G145" i="8"/>
  <c r="F145" i="8"/>
  <c r="E145" i="8"/>
  <c r="D145" i="8"/>
  <c r="G144" i="8"/>
  <c r="F144" i="8"/>
  <c r="E144" i="8"/>
  <c r="D144" i="8"/>
  <c r="G143" i="8"/>
  <c r="F143" i="8"/>
  <c r="E143" i="8"/>
  <c r="D143" i="8"/>
  <c r="G142" i="8"/>
  <c r="F142" i="8"/>
  <c r="E142" i="8"/>
  <c r="D142" i="8"/>
  <c r="D148" i="8" s="1"/>
  <c r="G135" i="8"/>
  <c r="F135" i="8"/>
  <c r="E135" i="8"/>
  <c r="D135" i="8"/>
  <c r="G134" i="8"/>
  <c r="F134" i="8"/>
  <c r="E134" i="8"/>
  <c r="D134" i="8"/>
  <c r="G132" i="8"/>
  <c r="F132" i="8"/>
  <c r="E132" i="8"/>
  <c r="D132" i="8"/>
  <c r="G136" i="8"/>
  <c r="F136" i="8"/>
  <c r="E136" i="8"/>
  <c r="D136" i="8"/>
  <c r="C118" i="8"/>
  <c r="G117" i="8"/>
  <c r="F117" i="8"/>
  <c r="E117" i="8"/>
  <c r="D117" i="8"/>
  <c r="G116" i="8"/>
  <c r="F116" i="8"/>
  <c r="E116" i="8"/>
  <c r="D116" i="8"/>
  <c r="G115" i="8"/>
  <c r="F115" i="8"/>
  <c r="E115" i="8"/>
  <c r="D115" i="8"/>
  <c r="G114" i="8"/>
  <c r="F114" i="8"/>
  <c r="E114" i="8"/>
  <c r="D114" i="8"/>
  <c r="G111" i="8"/>
  <c r="G118" i="8" s="1"/>
  <c r="F111" i="8"/>
  <c r="F118" i="8" s="1"/>
  <c r="E111" i="8"/>
  <c r="D111" i="8"/>
  <c r="D118" i="8" s="1"/>
  <c r="C105" i="8"/>
  <c r="G104" i="8"/>
  <c r="F104" i="8"/>
  <c r="E104" i="8"/>
  <c r="D104" i="8"/>
  <c r="G103" i="8"/>
  <c r="F103" i="8"/>
  <c r="E103" i="8"/>
  <c r="D103" i="8"/>
  <c r="G102" i="8"/>
  <c r="F102" i="8"/>
  <c r="E102" i="8"/>
  <c r="D102" i="8"/>
  <c r="G101" i="8"/>
  <c r="F101" i="8"/>
  <c r="E101" i="8"/>
  <c r="D101" i="8"/>
  <c r="G100" i="8"/>
  <c r="F100" i="8"/>
  <c r="E100" i="8"/>
  <c r="D100" i="8"/>
  <c r="G99" i="8"/>
  <c r="G105" i="8" s="1"/>
  <c r="F99" i="8"/>
  <c r="F105" i="8" s="1"/>
  <c r="E99" i="8"/>
  <c r="E105" i="8" s="1"/>
  <c r="D99" i="8"/>
  <c r="D105" i="8" s="1"/>
  <c r="C87" i="8"/>
  <c r="G86" i="8"/>
  <c r="F86" i="8"/>
  <c r="E86" i="8"/>
  <c r="D86" i="8"/>
  <c r="G85" i="8"/>
  <c r="F85" i="8"/>
  <c r="E85" i="8"/>
  <c r="D85" i="8"/>
  <c r="G84" i="8"/>
  <c r="F84" i="8"/>
  <c r="E84" i="8"/>
  <c r="D84" i="8"/>
  <c r="G83" i="8"/>
  <c r="F83" i="8"/>
  <c r="E83" i="8"/>
  <c r="D83" i="8"/>
  <c r="G82" i="8"/>
  <c r="F82" i="8"/>
  <c r="E82" i="8"/>
  <c r="E87" i="8" s="1"/>
  <c r="D82" i="8"/>
  <c r="D87" i="8" s="1"/>
  <c r="C76" i="8"/>
  <c r="G75" i="8"/>
  <c r="F75" i="8"/>
  <c r="E75" i="8"/>
  <c r="D75" i="8"/>
  <c r="G74" i="8"/>
  <c r="F74" i="8"/>
  <c r="E74" i="8"/>
  <c r="D74" i="8"/>
  <c r="G72" i="8"/>
  <c r="F72" i="8"/>
  <c r="E72" i="8"/>
  <c r="D72" i="8"/>
  <c r="G70" i="8"/>
  <c r="F70" i="8"/>
  <c r="E70" i="8"/>
  <c r="D70" i="8"/>
  <c r="G69" i="8"/>
  <c r="F69" i="8"/>
  <c r="E69" i="8"/>
  <c r="D69" i="8"/>
  <c r="C58" i="8"/>
  <c r="G57" i="8"/>
  <c r="F57" i="8"/>
  <c r="E57" i="8"/>
  <c r="D57" i="8"/>
  <c r="G56" i="8"/>
  <c r="F56" i="8"/>
  <c r="E56" i="8"/>
  <c r="D56" i="8"/>
  <c r="G55" i="8"/>
  <c r="F55" i="8"/>
  <c r="E55" i="8"/>
  <c r="D55" i="8"/>
  <c r="G54" i="8"/>
  <c r="F54" i="8"/>
  <c r="E54" i="8"/>
  <c r="D54" i="8"/>
  <c r="G51" i="8"/>
  <c r="G58" i="8" s="1"/>
  <c r="F51" i="8"/>
  <c r="F58" i="8" s="1"/>
  <c r="E51" i="8"/>
  <c r="E58" i="8" s="1"/>
  <c r="D51" i="8"/>
  <c r="C45" i="8"/>
  <c r="G44" i="8"/>
  <c r="F44" i="8"/>
  <c r="E44" i="8"/>
  <c r="D44" i="8"/>
  <c r="G43" i="8"/>
  <c r="F43" i="8"/>
  <c r="E43" i="8"/>
  <c r="D43" i="8"/>
  <c r="G42" i="8"/>
  <c r="F42" i="8"/>
  <c r="E42" i="8"/>
  <c r="D42" i="8"/>
  <c r="G41" i="8"/>
  <c r="F41" i="8"/>
  <c r="E41" i="8"/>
  <c r="D41" i="8"/>
  <c r="G40" i="8"/>
  <c r="F40" i="8"/>
  <c r="E40" i="8"/>
  <c r="E45" i="8" s="1"/>
  <c r="D40" i="8"/>
  <c r="G45" i="8"/>
  <c r="C26" i="8"/>
  <c r="C27" i="8" s="1"/>
  <c r="G25" i="8"/>
  <c r="F25" i="8"/>
  <c r="E25" i="8"/>
  <c r="D25" i="8"/>
  <c r="G24" i="8"/>
  <c r="F24" i="8"/>
  <c r="E24" i="8"/>
  <c r="D24" i="8"/>
  <c r="G23" i="8"/>
  <c r="F23" i="8"/>
  <c r="E23" i="8"/>
  <c r="D23" i="8"/>
  <c r="G22" i="8"/>
  <c r="F22" i="8"/>
  <c r="E22" i="8"/>
  <c r="D22" i="8"/>
  <c r="G21" i="8"/>
  <c r="F21" i="8"/>
  <c r="E21" i="8"/>
  <c r="D21" i="8"/>
  <c r="G20" i="8"/>
  <c r="F20" i="8"/>
  <c r="E20" i="8"/>
  <c r="D20" i="8"/>
  <c r="G18" i="8"/>
  <c r="G26" i="8" s="1"/>
  <c r="G27" i="8" s="1"/>
  <c r="F18" i="8"/>
  <c r="F26" i="8" s="1"/>
  <c r="F27" i="8" s="1"/>
  <c r="E18" i="8"/>
  <c r="D18" i="8"/>
  <c r="C12" i="8"/>
  <c r="G11" i="8"/>
  <c r="F11" i="8"/>
  <c r="E11" i="8"/>
  <c r="D11" i="8"/>
  <c r="G10" i="8"/>
  <c r="F10" i="8"/>
  <c r="E10" i="8"/>
  <c r="D10" i="8"/>
  <c r="G9" i="8"/>
  <c r="F9" i="8"/>
  <c r="E9" i="8"/>
  <c r="D9" i="8"/>
  <c r="G8" i="8"/>
  <c r="F8" i="8"/>
  <c r="E8" i="8"/>
  <c r="D8" i="8"/>
  <c r="G7" i="8"/>
  <c r="F7" i="8"/>
  <c r="E7" i="8"/>
  <c r="D7" i="8"/>
  <c r="D12" i="8" s="1"/>
  <c r="C148" i="7"/>
  <c r="G147" i="7"/>
  <c r="F147" i="7"/>
  <c r="E147" i="7"/>
  <c r="D147" i="7"/>
  <c r="G146" i="7"/>
  <c r="F146" i="7"/>
  <c r="E146" i="7"/>
  <c r="D146" i="7"/>
  <c r="G145" i="7"/>
  <c r="F145" i="7"/>
  <c r="E145" i="7"/>
  <c r="D145" i="7"/>
  <c r="G144" i="7"/>
  <c r="F144" i="7"/>
  <c r="E144" i="7"/>
  <c r="D144" i="7"/>
  <c r="G143" i="7"/>
  <c r="F143" i="7"/>
  <c r="E143" i="7"/>
  <c r="D143" i="7"/>
  <c r="G142" i="7"/>
  <c r="F142" i="7"/>
  <c r="F148" i="7" s="1"/>
  <c r="E142" i="7"/>
  <c r="E148" i="7" s="1"/>
  <c r="D142" i="7"/>
  <c r="G135" i="7"/>
  <c r="F135" i="7"/>
  <c r="E135" i="7"/>
  <c r="D135" i="7"/>
  <c r="G134" i="7"/>
  <c r="F134" i="7"/>
  <c r="E134" i="7"/>
  <c r="D134" i="7"/>
  <c r="G136" i="7"/>
  <c r="F136" i="7"/>
  <c r="E136" i="7"/>
  <c r="D136" i="7"/>
  <c r="C118" i="7"/>
  <c r="G117" i="7"/>
  <c r="F117" i="7"/>
  <c r="E117" i="7"/>
  <c r="D117" i="7"/>
  <c r="G116" i="7"/>
  <c r="F116" i="7"/>
  <c r="E116" i="7"/>
  <c r="D116" i="7"/>
  <c r="G115" i="7"/>
  <c r="F115" i="7"/>
  <c r="E115" i="7"/>
  <c r="D115" i="7"/>
  <c r="G111" i="7"/>
  <c r="G118" i="7" s="1"/>
  <c r="F111" i="7"/>
  <c r="E111" i="7"/>
  <c r="D111" i="7"/>
  <c r="D118" i="7" s="1"/>
  <c r="C105" i="7"/>
  <c r="G104" i="7"/>
  <c r="F104" i="7"/>
  <c r="E104" i="7"/>
  <c r="D104" i="7"/>
  <c r="G103" i="7"/>
  <c r="F103" i="7"/>
  <c r="E103" i="7"/>
  <c r="D103" i="7"/>
  <c r="G102" i="7"/>
  <c r="F102" i="7"/>
  <c r="E102" i="7"/>
  <c r="D102" i="7"/>
  <c r="G101" i="7"/>
  <c r="F101" i="7"/>
  <c r="E101" i="7"/>
  <c r="D101" i="7"/>
  <c r="G100" i="7"/>
  <c r="F100" i="7"/>
  <c r="E100" i="7"/>
  <c r="D100" i="7"/>
  <c r="G99" i="7"/>
  <c r="F99" i="7"/>
  <c r="E99" i="7"/>
  <c r="E105" i="7" s="1"/>
  <c r="D99" i="7"/>
  <c r="D105" i="7" s="1"/>
  <c r="C88" i="7"/>
  <c r="G87" i="7"/>
  <c r="F87" i="7"/>
  <c r="E87" i="7"/>
  <c r="D87" i="7"/>
  <c r="G86" i="7"/>
  <c r="F86" i="7"/>
  <c r="E86" i="7"/>
  <c r="D86" i="7"/>
  <c r="G85" i="7"/>
  <c r="F85" i="7"/>
  <c r="E85" i="7"/>
  <c r="D85" i="7"/>
  <c r="G84" i="7"/>
  <c r="F84" i="7"/>
  <c r="E84" i="7"/>
  <c r="D84" i="7"/>
  <c r="G83" i="7"/>
  <c r="F83" i="7"/>
  <c r="E83" i="7"/>
  <c r="D83" i="7"/>
  <c r="G82" i="7"/>
  <c r="G88" i="7" s="1"/>
  <c r="F82" i="7"/>
  <c r="F88" i="7" s="1"/>
  <c r="E82" i="7"/>
  <c r="D82" i="7"/>
  <c r="D88" i="7" s="1"/>
  <c r="C76" i="7"/>
  <c r="G75" i="7"/>
  <c r="F75" i="7"/>
  <c r="E75" i="7"/>
  <c r="D75" i="7"/>
  <c r="G74" i="7"/>
  <c r="F74" i="7"/>
  <c r="E74" i="7"/>
  <c r="D74" i="7"/>
  <c r="G72" i="7"/>
  <c r="F72" i="7"/>
  <c r="E72" i="7"/>
  <c r="D72" i="7"/>
  <c r="G70" i="7"/>
  <c r="F70" i="7"/>
  <c r="E70" i="7"/>
  <c r="D70" i="7"/>
  <c r="G69" i="7"/>
  <c r="F69" i="7"/>
  <c r="E69" i="7"/>
  <c r="D69" i="7"/>
  <c r="C58" i="7"/>
  <c r="G57" i="7"/>
  <c r="F57" i="7"/>
  <c r="E57" i="7"/>
  <c r="D57" i="7"/>
  <c r="G56" i="7"/>
  <c r="F56" i="7"/>
  <c r="E56" i="7"/>
  <c r="D56" i="7"/>
  <c r="G55" i="7"/>
  <c r="F55" i="7"/>
  <c r="E55" i="7"/>
  <c r="D55" i="7"/>
  <c r="G54" i="7"/>
  <c r="F54" i="7"/>
  <c r="E54" i="7"/>
  <c r="D54" i="7"/>
  <c r="G51" i="7"/>
  <c r="G58" i="7" s="1"/>
  <c r="F51" i="7"/>
  <c r="F58" i="7" s="1"/>
  <c r="E51" i="7"/>
  <c r="D51" i="7"/>
  <c r="C45" i="7"/>
  <c r="G44" i="7"/>
  <c r="F44" i="7"/>
  <c r="E44" i="7"/>
  <c r="D44" i="7"/>
  <c r="G43" i="7"/>
  <c r="F43" i="7"/>
  <c r="E43" i="7"/>
  <c r="D43" i="7"/>
  <c r="G42" i="7"/>
  <c r="F42" i="7"/>
  <c r="E42" i="7"/>
  <c r="D42" i="7"/>
  <c r="G41" i="7"/>
  <c r="F41" i="7"/>
  <c r="E41" i="7"/>
  <c r="D41" i="7"/>
  <c r="G40" i="7"/>
  <c r="F40" i="7"/>
  <c r="E40" i="7"/>
  <c r="D40" i="7"/>
  <c r="G45" i="7"/>
  <c r="C26" i="7"/>
  <c r="C27" i="7" s="1"/>
  <c r="G25" i="7"/>
  <c r="F25" i="7"/>
  <c r="E25" i="7"/>
  <c r="D25" i="7"/>
  <c r="G24" i="7"/>
  <c r="F24" i="7"/>
  <c r="E24" i="7"/>
  <c r="D24" i="7"/>
  <c r="G23" i="7"/>
  <c r="F23" i="7"/>
  <c r="E23" i="7"/>
  <c r="D23" i="7"/>
  <c r="G22" i="7"/>
  <c r="F22" i="7"/>
  <c r="E22" i="7"/>
  <c r="D22" i="7"/>
  <c r="G21" i="7"/>
  <c r="F21" i="7"/>
  <c r="E21" i="7"/>
  <c r="D21" i="7"/>
  <c r="G20" i="7"/>
  <c r="F20" i="7"/>
  <c r="E20" i="7"/>
  <c r="D20" i="7"/>
  <c r="G18" i="7"/>
  <c r="F18" i="7"/>
  <c r="E18" i="7"/>
  <c r="E26" i="7" s="1"/>
  <c r="E27" i="7" s="1"/>
  <c r="D18" i="7"/>
  <c r="C12" i="7"/>
  <c r="G11" i="7"/>
  <c r="F11" i="7"/>
  <c r="E11" i="7"/>
  <c r="D11" i="7"/>
  <c r="G10" i="7"/>
  <c r="F10" i="7"/>
  <c r="E10" i="7"/>
  <c r="D10" i="7"/>
  <c r="G9" i="7"/>
  <c r="F9" i="7"/>
  <c r="E9" i="7"/>
  <c r="D9" i="7"/>
  <c r="G8" i="7"/>
  <c r="F8" i="7"/>
  <c r="E8" i="7"/>
  <c r="D8" i="7"/>
  <c r="G7" i="7"/>
  <c r="F7" i="7"/>
  <c r="F12" i="7" s="1"/>
  <c r="E7" i="7"/>
  <c r="E12" i="7" s="1"/>
  <c r="D7" i="7"/>
  <c r="D12" i="7" s="1"/>
  <c r="G297" i="1"/>
  <c r="F297" i="1"/>
  <c r="E297" i="1"/>
  <c r="D297" i="1"/>
  <c r="G268" i="1"/>
  <c r="F268" i="1"/>
  <c r="E268" i="1"/>
  <c r="D268" i="1"/>
  <c r="C240" i="1"/>
  <c r="G233" i="1"/>
  <c r="F233" i="1"/>
  <c r="E233" i="1"/>
  <c r="D233" i="1"/>
  <c r="G236" i="1"/>
  <c r="F236" i="1"/>
  <c r="E236" i="1"/>
  <c r="D236" i="1"/>
  <c r="G206" i="1"/>
  <c r="F206" i="1"/>
  <c r="E206" i="1"/>
  <c r="D206" i="1"/>
  <c r="G205" i="1"/>
  <c r="F205" i="1"/>
  <c r="E205" i="1"/>
  <c r="D205" i="1"/>
  <c r="G145" i="1"/>
  <c r="F145" i="1"/>
  <c r="E145" i="1"/>
  <c r="D145" i="1"/>
  <c r="G142" i="1"/>
  <c r="F142" i="1"/>
  <c r="E142" i="1"/>
  <c r="D142" i="1"/>
  <c r="G115" i="1"/>
  <c r="F115" i="1"/>
  <c r="E115" i="1"/>
  <c r="D115" i="1"/>
  <c r="G114" i="1"/>
  <c r="F114" i="1"/>
  <c r="E114" i="1"/>
  <c r="D114" i="1"/>
  <c r="G82" i="1"/>
  <c r="F82" i="1"/>
  <c r="E82" i="1"/>
  <c r="D82" i="1"/>
  <c r="C54" i="1"/>
  <c r="G47" i="1"/>
  <c r="F47" i="1"/>
  <c r="E47" i="1"/>
  <c r="D47" i="1"/>
  <c r="D16" i="1"/>
  <c r="E16" i="1"/>
  <c r="F16" i="1"/>
  <c r="G16" i="1"/>
  <c r="D17" i="1"/>
  <c r="E17" i="1"/>
  <c r="F17" i="1"/>
  <c r="G17" i="1"/>
  <c r="D18" i="1"/>
  <c r="E18" i="1"/>
  <c r="F18" i="1"/>
  <c r="G18" i="1"/>
  <c r="D19" i="1"/>
  <c r="E19" i="1"/>
  <c r="F19" i="1"/>
  <c r="G19" i="1"/>
  <c r="D20" i="1"/>
  <c r="E20" i="1"/>
  <c r="F20" i="1"/>
  <c r="G20" i="1"/>
  <c r="C21" i="1"/>
  <c r="G145" i="4"/>
  <c r="F145" i="4"/>
  <c r="E145" i="4"/>
  <c r="D145" i="4"/>
  <c r="G72" i="4"/>
  <c r="F72" i="4"/>
  <c r="E72" i="4"/>
  <c r="D72" i="4"/>
  <c r="G55" i="4"/>
  <c r="F55" i="4"/>
  <c r="E55" i="4"/>
  <c r="D55" i="4"/>
  <c r="G41" i="4"/>
  <c r="F41" i="4"/>
  <c r="E41" i="4"/>
  <c r="D41" i="4"/>
  <c r="G114" i="4"/>
  <c r="F114" i="4"/>
  <c r="E114" i="4"/>
  <c r="D114" i="4"/>
  <c r="C118" i="4"/>
  <c r="G111" i="4"/>
  <c r="F111" i="4"/>
  <c r="E111" i="4"/>
  <c r="D111" i="4"/>
  <c r="C105" i="4"/>
  <c r="D45" i="8" l="1"/>
  <c r="G87" i="8"/>
  <c r="E118" i="8"/>
  <c r="E12" i="8"/>
  <c r="D26" i="8"/>
  <c r="D27" i="8" s="1"/>
  <c r="F45" i="8"/>
  <c r="G12" i="8"/>
  <c r="D76" i="8"/>
  <c r="G12" i="7"/>
  <c r="G26" i="7"/>
  <c r="G27" i="7" s="1"/>
  <c r="F45" i="7"/>
  <c r="E45" i="7"/>
  <c r="F26" i="7"/>
  <c r="F27" i="7" s="1"/>
  <c r="D58" i="7"/>
  <c r="E118" i="7"/>
  <c r="D26" i="7"/>
  <c r="D27" i="7" s="1"/>
  <c r="E76" i="7"/>
  <c r="G148" i="7"/>
  <c r="G105" i="7"/>
  <c r="F118" i="7"/>
  <c r="D45" i="7"/>
  <c r="F76" i="7"/>
  <c r="G62" i="9"/>
  <c r="G70" i="9" s="1"/>
  <c r="F44" i="9"/>
  <c r="G9" i="9"/>
  <c r="E44" i="9"/>
  <c r="C70" i="9"/>
  <c r="E9" i="9"/>
  <c r="E62" i="9"/>
  <c r="D62" i="9"/>
  <c r="D70" i="9" s="1"/>
  <c r="F62" i="9"/>
  <c r="C35" i="9"/>
  <c r="D33" i="9"/>
  <c r="D35" i="9" s="1"/>
  <c r="E33" i="9"/>
  <c r="G33" i="9"/>
  <c r="F33" i="9"/>
  <c r="F26" i="9"/>
  <c r="E148" i="8"/>
  <c r="G148" i="8"/>
  <c r="D58" i="8"/>
  <c r="F148" i="8"/>
  <c r="F12" i="8"/>
  <c r="E26" i="8"/>
  <c r="E27" i="8" s="1"/>
  <c r="F76" i="8"/>
  <c r="F87" i="8"/>
  <c r="E76" i="8"/>
  <c r="C151" i="8"/>
  <c r="G76" i="8"/>
  <c r="D148" i="7"/>
  <c r="F105" i="7"/>
  <c r="E88" i="7"/>
  <c r="G76" i="7"/>
  <c r="D76" i="7"/>
  <c r="E58" i="7"/>
  <c r="C151" i="7"/>
  <c r="G21" i="1"/>
  <c r="D21" i="1"/>
  <c r="E21" i="1"/>
  <c r="F21" i="1"/>
  <c r="G88" i="4"/>
  <c r="F88" i="4"/>
  <c r="E88" i="4"/>
  <c r="D88" i="4"/>
  <c r="G87" i="4"/>
  <c r="F87" i="4"/>
  <c r="E87" i="4"/>
  <c r="D87" i="4"/>
  <c r="G86" i="4"/>
  <c r="F86" i="4"/>
  <c r="E86" i="4"/>
  <c r="D86" i="4"/>
  <c r="G85" i="4"/>
  <c r="F85" i="4"/>
  <c r="E85" i="4"/>
  <c r="D85" i="4"/>
  <c r="G101" i="4"/>
  <c r="F101" i="4"/>
  <c r="E101" i="4"/>
  <c r="D101" i="4"/>
  <c r="C76" i="4"/>
  <c r="G69" i="4"/>
  <c r="F69" i="4"/>
  <c r="E69" i="4"/>
  <c r="D69" i="4"/>
  <c r="D100" i="4"/>
  <c r="E100" i="4"/>
  <c r="F100" i="4"/>
  <c r="G100" i="4"/>
  <c r="C27" i="4"/>
  <c r="G42" i="4"/>
  <c r="C301" i="1"/>
  <c r="G300" i="1"/>
  <c r="F300" i="1"/>
  <c r="E300" i="1"/>
  <c r="D300" i="1"/>
  <c r="G299" i="1"/>
  <c r="F299" i="1"/>
  <c r="E299" i="1"/>
  <c r="D299" i="1"/>
  <c r="G298" i="1"/>
  <c r="F298" i="1"/>
  <c r="E298" i="1"/>
  <c r="D298" i="1"/>
  <c r="G296" i="1"/>
  <c r="F296" i="1"/>
  <c r="E296" i="1"/>
  <c r="E301" i="1" s="1"/>
  <c r="D296" i="1"/>
  <c r="F301" i="1"/>
  <c r="G287" i="1"/>
  <c r="F287" i="1"/>
  <c r="E287" i="1"/>
  <c r="D287" i="1"/>
  <c r="G286" i="1"/>
  <c r="F286" i="1"/>
  <c r="E286" i="1"/>
  <c r="D286" i="1"/>
  <c r="D288" i="1" s="1"/>
  <c r="C288" i="1"/>
  <c r="G271" i="1"/>
  <c r="F271" i="1"/>
  <c r="E271" i="1"/>
  <c r="D271" i="1"/>
  <c r="G270" i="1"/>
  <c r="F270" i="1"/>
  <c r="E270" i="1"/>
  <c r="D270" i="1"/>
  <c r="G272" i="1"/>
  <c r="F272" i="1"/>
  <c r="E272" i="1"/>
  <c r="D272" i="1"/>
  <c r="G257" i="1"/>
  <c r="F257" i="1"/>
  <c r="E257" i="1"/>
  <c r="D257" i="1"/>
  <c r="G256" i="1"/>
  <c r="F256" i="1"/>
  <c r="E256" i="1"/>
  <c r="D256" i="1"/>
  <c r="G255" i="1"/>
  <c r="G258" i="1" s="1"/>
  <c r="F255" i="1"/>
  <c r="E255" i="1"/>
  <c r="E258" i="1" s="1"/>
  <c r="D255" i="1"/>
  <c r="C258" i="1"/>
  <c r="G239" i="1"/>
  <c r="F239" i="1"/>
  <c r="E239" i="1"/>
  <c r="D239" i="1"/>
  <c r="G238" i="1"/>
  <c r="F238" i="1"/>
  <c r="E238" i="1"/>
  <c r="D238" i="1"/>
  <c r="G237" i="1"/>
  <c r="F237" i="1"/>
  <c r="E237" i="1"/>
  <c r="E240" i="1" s="1"/>
  <c r="D237" i="1"/>
  <c r="D240" i="1" s="1"/>
  <c r="G226" i="1"/>
  <c r="F226" i="1"/>
  <c r="D226" i="1"/>
  <c r="G225" i="1"/>
  <c r="F225" i="1"/>
  <c r="E225" i="1"/>
  <c r="D225" i="1"/>
  <c r="G224" i="1"/>
  <c r="F224" i="1"/>
  <c r="E224" i="1"/>
  <c r="D224" i="1"/>
  <c r="C227" i="1"/>
  <c r="C243" i="1" s="1"/>
  <c r="E226" i="1"/>
  <c r="C211" i="1"/>
  <c r="G209" i="1"/>
  <c r="F209" i="1"/>
  <c r="E209" i="1"/>
  <c r="D209" i="1"/>
  <c r="G208" i="1"/>
  <c r="F208" i="1"/>
  <c r="E208" i="1"/>
  <c r="D208" i="1"/>
  <c r="G207" i="1"/>
  <c r="F207" i="1"/>
  <c r="E207" i="1"/>
  <c r="D207" i="1"/>
  <c r="G204" i="1"/>
  <c r="F204" i="1"/>
  <c r="E204" i="1"/>
  <c r="E211" i="1" s="1"/>
  <c r="D204" i="1"/>
  <c r="G195" i="1"/>
  <c r="F195" i="1"/>
  <c r="E195" i="1"/>
  <c r="D195" i="1"/>
  <c r="G194" i="1"/>
  <c r="F194" i="1"/>
  <c r="E194" i="1"/>
  <c r="D194" i="1"/>
  <c r="G193" i="1"/>
  <c r="G196" i="1" s="1"/>
  <c r="F193" i="1"/>
  <c r="E193" i="1"/>
  <c r="D193" i="1"/>
  <c r="D196" i="1" s="1"/>
  <c r="C196" i="1"/>
  <c r="C180" i="1"/>
  <c r="G179" i="1"/>
  <c r="F179" i="1"/>
  <c r="E179" i="1"/>
  <c r="D179" i="1"/>
  <c r="G178" i="1"/>
  <c r="F178" i="1"/>
  <c r="E178" i="1"/>
  <c r="D178" i="1"/>
  <c r="G177" i="1"/>
  <c r="F177" i="1"/>
  <c r="E177" i="1"/>
  <c r="D177" i="1"/>
  <c r="G176" i="1"/>
  <c r="F176" i="1"/>
  <c r="E176" i="1"/>
  <c r="D176" i="1"/>
  <c r="G175" i="1"/>
  <c r="F175" i="1"/>
  <c r="E175" i="1"/>
  <c r="D175" i="1"/>
  <c r="G165" i="1"/>
  <c r="F165" i="1"/>
  <c r="E165" i="1"/>
  <c r="D165" i="1"/>
  <c r="G164" i="1"/>
  <c r="F164" i="1"/>
  <c r="E164" i="1"/>
  <c r="D164" i="1"/>
  <c r="C167" i="1"/>
  <c r="G166" i="1"/>
  <c r="F166" i="1"/>
  <c r="E166" i="1"/>
  <c r="D166" i="1"/>
  <c r="G148" i="1"/>
  <c r="F148" i="1"/>
  <c r="E148" i="1"/>
  <c r="D148" i="1"/>
  <c r="G147" i="1"/>
  <c r="F147" i="1"/>
  <c r="E147" i="1"/>
  <c r="D147" i="1"/>
  <c r="G143" i="1"/>
  <c r="G149" i="1" s="1"/>
  <c r="F143" i="1"/>
  <c r="E143" i="1"/>
  <c r="D143" i="1"/>
  <c r="G135" i="1"/>
  <c r="F135" i="1"/>
  <c r="E135" i="1"/>
  <c r="D135" i="1"/>
  <c r="G134" i="1"/>
  <c r="F134" i="1"/>
  <c r="E134" i="1"/>
  <c r="D134" i="1"/>
  <c r="G133" i="1"/>
  <c r="F133" i="1"/>
  <c r="E133" i="1"/>
  <c r="D133" i="1"/>
  <c r="C136" i="1"/>
  <c r="C119" i="1"/>
  <c r="G118" i="1"/>
  <c r="F118" i="1"/>
  <c r="E118" i="1"/>
  <c r="D118" i="1"/>
  <c r="G117" i="1"/>
  <c r="F117" i="1"/>
  <c r="E117" i="1"/>
  <c r="D117" i="1"/>
  <c r="G116" i="1"/>
  <c r="F116" i="1"/>
  <c r="E116" i="1"/>
  <c r="D116" i="1"/>
  <c r="F119" i="1"/>
  <c r="G104" i="1"/>
  <c r="F104" i="1"/>
  <c r="E104" i="1"/>
  <c r="D104" i="1"/>
  <c r="G103" i="1"/>
  <c r="F103" i="1"/>
  <c r="E103" i="1"/>
  <c r="D103" i="1"/>
  <c r="G102" i="1"/>
  <c r="F102" i="1"/>
  <c r="D102" i="1"/>
  <c r="C105" i="1"/>
  <c r="E102" i="1"/>
  <c r="C87" i="1"/>
  <c r="G86" i="1"/>
  <c r="F86" i="1"/>
  <c r="E86" i="1"/>
  <c r="D86" i="1"/>
  <c r="G85" i="1"/>
  <c r="F85" i="1"/>
  <c r="E85" i="1"/>
  <c r="D85" i="1"/>
  <c r="G84" i="1"/>
  <c r="F84" i="1"/>
  <c r="E84" i="1"/>
  <c r="D84" i="1"/>
  <c r="G83" i="1"/>
  <c r="F83" i="1"/>
  <c r="E83" i="1"/>
  <c r="D83" i="1"/>
  <c r="G87" i="1"/>
  <c r="D87" i="1"/>
  <c r="C74" i="1"/>
  <c r="G73" i="1"/>
  <c r="F73" i="1"/>
  <c r="E73" i="1"/>
  <c r="D73" i="1"/>
  <c r="G72" i="1"/>
  <c r="F72" i="1"/>
  <c r="E72" i="1"/>
  <c r="D72" i="1"/>
  <c r="C122" i="1" l="1"/>
  <c r="D357" i="9"/>
  <c r="F240" i="1"/>
  <c r="C357" i="9"/>
  <c r="E149" i="1"/>
  <c r="D151" i="8"/>
  <c r="F151" i="7"/>
  <c r="G151" i="7"/>
  <c r="E35" i="9"/>
  <c r="F70" i="9"/>
  <c r="F35" i="9"/>
  <c r="D149" i="1"/>
  <c r="F149" i="1"/>
  <c r="G35" i="9"/>
  <c r="G357" i="9" s="1"/>
  <c r="E70" i="9"/>
  <c r="G151" i="8"/>
  <c r="F151" i="8"/>
  <c r="E151" i="8"/>
  <c r="D151" i="7"/>
  <c r="E151" i="7"/>
  <c r="G240" i="1"/>
  <c r="F196" i="1"/>
  <c r="F288" i="1"/>
  <c r="F304" i="1" s="1"/>
  <c r="F136" i="1"/>
  <c r="G301" i="1"/>
  <c r="G180" i="1"/>
  <c r="F87" i="1"/>
  <c r="D211" i="1"/>
  <c r="D214" i="1" s="1"/>
  <c r="G105" i="1"/>
  <c r="E180" i="1"/>
  <c r="G136" i="1"/>
  <c r="E167" i="1"/>
  <c r="F180" i="1"/>
  <c r="D301" i="1"/>
  <c r="D304" i="1" s="1"/>
  <c r="E119" i="1"/>
  <c r="G288" i="1"/>
  <c r="F258" i="1"/>
  <c r="E87" i="1"/>
  <c r="D180" i="1"/>
  <c r="F211" i="1"/>
  <c r="F227" i="1"/>
  <c r="G227" i="1"/>
  <c r="C152" i="1"/>
  <c r="C304" i="1"/>
  <c r="D119" i="1"/>
  <c r="C214" i="1"/>
  <c r="G119" i="1"/>
  <c r="C183" i="1"/>
  <c r="G167" i="1"/>
  <c r="E275" i="1"/>
  <c r="D105" i="1"/>
  <c r="C275" i="1"/>
  <c r="D136" i="1"/>
  <c r="G211" i="1"/>
  <c r="G214" i="1" s="1"/>
  <c r="D167" i="1"/>
  <c r="E227" i="1"/>
  <c r="E243" i="1" s="1"/>
  <c r="D227" i="1"/>
  <c r="D243" i="1" s="1"/>
  <c r="C90" i="1"/>
  <c r="E136" i="1"/>
  <c r="F167" i="1"/>
  <c r="E288" i="1"/>
  <c r="E304" i="1" s="1"/>
  <c r="E196" i="1"/>
  <c r="E214" i="1" s="1"/>
  <c r="G275" i="1"/>
  <c r="D258" i="1"/>
  <c r="F105" i="1"/>
  <c r="F122" i="1" s="1"/>
  <c r="E105" i="1"/>
  <c r="G71" i="1"/>
  <c r="G74" i="1" s="1"/>
  <c r="G90" i="1" s="1"/>
  <c r="F71" i="1"/>
  <c r="F74" i="1" s="1"/>
  <c r="E71" i="1"/>
  <c r="E74" i="1" s="1"/>
  <c r="D71" i="1"/>
  <c r="D74" i="1" s="1"/>
  <c r="D90" i="1" s="1"/>
  <c r="G41" i="1"/>
  <c r="F41" i="1"/>
  <c r="E41" i="1"/>
  <c r="D41" i="1"/>
  <c r="G40" i="1"/>
  <c r="F40" i="1"/>
  <c r="E40" i="1"/>
  <c r="D40" i="1"/>
  <c r="C42" i="1"/>
  <c r="G39" i="1"/>
  <c r="F39" i="1"/>
  <c r="E39" i="1"/>
  <c r="D39" i="1"/>
  <c r="G6" i="1"/>
  <c r="F6" i="1"/>
  <c r="E6" i="1"/>
  <c r="G53" i="1"/>
  <c r="F53" i="1"/>
  <c r="E53" i="1"/>
  <c r="D53" i="1"/>
  <c r="G52" i="1"/>
  <c r="F52" i="1"/>
  <c r="E52" i="1"/>
  <c r="D52" i="1"/>
  <c r="G51" i="1"/>
  <c r="F51" i="1"/>
  <c r="E51" i="1"/>
  <c r="D51" i="1"/>
  <c r="G50" i="1"/>
  <c r="F50" i="1"/>
  <c r="E50" i="1"/>
  <c r="D50" i="1"/>
  <c r="G49" i="1"/>
  <c r="F49" i="1"/>
  <c r="E49" i="1"/>
  <c r="D49" i="1"/>
  <c r="G38" i="1"/>
  <c r="F38" i="1"/>
  <c r="E38" i="1"/>
  <c r="D38" i="1"/>
  <c r="C9" i="1"/>
  <c r="G8" i="1"/>
  <c r="F8" i="1"/>
  <c r="E8" i="1"/>
  <c r="D8" i="1"/>
  <c r="G7" i="1"/>
  <c r="F7" i="1"/>
  <c r="E7" i="1"/>
  <c r="D7" i="1"/>
  <c r="D6" i="1"/>
  <c r="F357" i="9" l="1"/>
  <c r="E357" i="9"/>
  <c r="F214" i="1"/>
  <c r="G183" i="1"/>
  <c r="D152" i="1"/>
  <c r="F243" i="1"/>
  <c r="F152" i="1"/>
  <c r="D122" i="1"/>
  <c r="G54" i="1"/>
  <c r="F54" i="1"/>
  <c r="E54" i="1"/>
  <c r="D54" i="1"/>
  <c r="G304" i="1"/>
  <c r="G152" i="1"/>
  <c r="F90" i="1"/>
  <c r="E183" i="1"/>
  <c r="F183" i="1"/>
  <c r="G122" i="1"/>
  <c r="G243" i="1"/>
  <c r="E90" i="1"/>
  <c r="E122" i="1"/>
  <c r="D183" i="1"/>
  <c r="F275" i="1"/>
  <c r="E152" i="1"/>
  <c r="D275" i="1"/>
  <c r="F9" i="1"/>
  <c r="E9" i="1"/>
  <c r="E42" i="1"/>
  <c r="G9" i="1"/>
  <c r="G42" i="1"/>
  <c r="D42" i="1"/>
  <c r="D9" i="1"/>
  <c r="C57" i="1"/>
  <c r="F42" i="1"/>
  <c r="C149" i="4"/>
  <c r="G148" i="4"/>
  <c r="F148" i="4"/>
  <c r="E148" i="4"/>
  <c r="D148" i="4"/>
  <c r="G147" i="4"/>
  <c r="F147" i="4"/>
  <c r="E147" i="4"/>
  <c r="D147" i="4"/>
  <c r="G146" i="4"/>
  <c r="F146" i="4"/>
  <c r="E146" i="4"/>
  <c r="D146" i="4"/>
  <c r="G144" i="4"/>
  <c r="F144" i="4"/>
  <c r="E144" i="4"/>
  <c r="D144" i="4"/>
  <c r="G149" i="4"/>
  <c r="G135" i="4"/>
  <c r="F135" i="4"/>
  <c r="E135" i="4"/>
  <c r="D135" i="4"/>
  <c r="G134" i="4"/>
  <c r="F134" i="4"/>
  <c r="E134" i="4"/>
  <c r="D134" i="4"/>
  <c r="G132" i="4"/>
  <c r="F132" i="4"/>
  <c r="E132" i="4"/>
  <c r="D132" i="4"/>
  <c r="G136" i="4"/>
  <c r="F136" i="4"/>
  <c r="E136" i="4"/>
  <c r="D136" i="4"/>
  <c r="G117" i="4"/>
  <c r="F117" i="4"/>
  <c r="E117" i="4"/>
  <c r="D117" i="4"/>
  <c r="G116" i="4"/>
  <c r="F116" i="4"/>
  <c r="E116" i="4"/>
  <c r="D116" i="4"/>
  <c r="G115" i="4"/>
  <c r="F115" i="4"/>
  <c r="E115" i="4"/>
  <c r="D115" i="4"/>
  <c r="G118" i="4"/>
  <c r="F118" i="4"/>
  <c r="E118" i="4"/>
  <c r="D118" i="4"/>
  <c r="G104" i="4"/>
  <c r="F104" i="4"/>
  <c r="E104" i="4"/>
  <c r="D104" i="4"/>
  <c r="G103" i="4"/>
  <c r="F103" i="4"/>
  <c r="E103" i="4"/>
  <c r="D103" i="4"/>
  <c r="G102" i="4"/>
  <c r="F102" i="4"/>
  <c r="E102" i="4"/>
  <c r="D102" i="4"/>
  <c r="C89" i="4"/>
  <c r="G84" i="4"/>
  <c r="F84" i="4"/>
  <c r="E84" i="4"/>
  <c r="E89" i="4" s="1"/>
  <c r="D84" i="4"/>
  <c r="D89" i="4" s="1"/>
  <c r="G75" i="4"/>
  <c r="F75" i="4"/>
  <c r="E75" i="4"/>
  <c r="D75" i="4"/>
  <c r="G74" i="4"/>
  <c r="F74" i="4"/>
  <c r="E74" i="4"/>
  <c r="D74" i="4"/>
  <c r="G70" i="4"/>
  <c r="F70" i="4"/>
  <c r="E70" i="4"/>
  <c r="D70" i="4"/>
  <c r="C60" i="4"/>
  <c r="G59" i="4"/>
  <c r="F59" i="4"/>
  <c r="E59" i="4"/>
  <c r="D59" i="4"/>
  <c r="G58" i="4"/>
  <c r="F58" i="4"/>
  <c r="E58" i="4"/>
  <c r="D58" i="4"/>
  <c r="G57" i="4"/>
  <c r="F57" i="4"/>
  <c r="E57" i="4"/>
  <c r="E60" i="4" s="1"/>
  <c r="D57" i="4"/>
  <c r="C46" i="4"/>
  <c r="G45" i="4"/>
  <c r="F45" i="4"/>
  <c r="E45" i="4"/>
  <c r="D45" i="4"/>
  <c r="G44" i="4"/>
  <c r="F44" i="4"/>
  <c r="E44" i="4"/>
  <c r="D44" i="4"/>
  <c r="G43" i="4"/>
  <c r="F43" i="4"/>
  <c r="E43" i="4"/>
  <c r="D43" i="4"/>
  <c r="F42" i="4"/>
  <c r="E42" i="4"/>
  <c r="D42" i="4"/>
  <c r="C28" i="4"/>
  <c r="G26" i="4"/>
  <c r="F26" i="4"/>
  <c r="E26" i="4"/>
  <c r="D26" i="4"/>
  <c r="G24" i="4"/>
  <c r="F24" i="4"/>
  <c r="E24" i="4"/>
  <c r="D24" i="4"/>
  <c r="G23" i="4"/>
  <c r="F23" i="4"/>
  <c r="E23" i="4"/>
  <c r="D23" i="4"/>
  <c r="G22" i="4"/>
  <c r="F22" i="4"/>
  <c r="E22" i="4"/>
  <c r="D22" i="4"/>
  <c r="G21" i="4"/>
  <c r="F21" i="4"/>
  <c r="E21" i="4"/>
  <c r="D21" i="4"/>
  <c r="G27" i="4"/>
  <c r="G12" i="4"/>
  <c r="F12" i="4"/>
  <c r="E12" i="4"/>
  <c r="D12" i="4"/>
  <c r="G11" i="4"/>
  <c r="F11" i="4"/>
  <c r="E11" i="4"/>
  <c r="D11" i="4"/>
  <c r="G10" i="4"/>
  <c r="F10" i="4"/>
  <c r="E10" i="4"/>
  <c r="D10" i="4"/>
  <c r="G9" i="4"/>
  <c r="F9" i="4"/>
  <c r="F13" i="4" s="1"/>
  <c r="E9" i="4"/>
  <c r="D9" i="4"/>
  <c r="D13" i="4" s="1"/>
  <c r="G60" i="4" l="1"/>
  <c r="E57" i="1"/>
  <c r="F57" i="1"/>
  <c r="D57" i="1"/>
  <c r="G57" i="1"/>
  <c r="G105" i="4"/>
  <c r="F105" i="4"/>
  <c r="E105" i="4"/>
  <c r="D105" i="4"/>
  <c r="G89" i="4"/>
  <c r="G76" i="4"/>
  <c r="D76" i="4"/>
  <c r="D149" i="4"/>
  <c r="E13" i="4"/>
  <c r="D60" i="4"/>
  <c r="F76" i="4"/>
  <c r="E76" i="4"/>
  <c r="F60" i="4"/>
  <c r="E46" i="4"/>
  <c r="D46" i="4"/>
  <c r="F27" i="4"/>
  <c r="F28" i="4" s="1"/>
  <c r="D27" i="4"/>
  <c r="D28" i="4" s="1"/>
  <c r="G13" i="4"/>
  <c r="G46" i="4"/>
  <c r="F149" i="4"/>
  <c r="F46" i="4"/>
  <c r="E149" i="4"/>
  <c r="E27" i="4"/>
  <c r="E28" i="4" s="1"/>
  <c r="G28" i="4"/>
  <c r="F89" i="4"/>
  <c r="C152" i="4"/>
  <c r="E152" i="4" l="1"/>
  <c r="D152" i="4"/>
  <c r="G152" i="4"/>
  <c r="F152" i="4"/>
  <c r="C24" i="1"/>
  <c r="C307" i="1" s="1"/>
  <c r="D24" i="1" l="1"/>
  <c r="D307" i="1" s="1"/>
  <c r="E24" i="1"/>
  <c r="E307" i="1" s="1"/>
  <c r="G24" i="1"/>
  <c r="G307" i="1" s="1"/>
  <c r="F24" i="1"/>
  <c r="F307" i="1" s="1"/>
</calcChain>
</file>

<file path=xl/sharedStrings.xml><?xml version="1.0" encoding="utf-8"?>
<sst xmlns="http://schemas.openxmlformats.org/spreadsheetml/2006/main" count="1947" uniqueCount="155">
  <si>
    <t>Номер рецептуры</t>
  </si>
  <si>
    <t>Наименование блюда</t>
  </si>
  <si>
    <t>Выход,</t>
  </si>
  <si>
    <t>г.</t>
  </si>
  <si>
    <t>Химический состав</t>
  </si>
  <si>
    <t>Белки, г.</t>
  </si>
  <si>
    <t>Жиры, г</t>
  </si>
  <si>
    <t>Углеводы, г.</t>
  </si>
  <si>
    <t>Энергетическая ценность, ккал</t>
  </si>
  <si>
    <t>День 1</t>
  </si>
  <si>
    <t>Обед</t>
  </si>
  <si>
    <t>ТК № 104</t>
  </si>
  <si>
    <t>Щи из свежей капусты с картофелем</t>
  </si>
  <si>
    <t>ТК № 495</t>
  </si>
  <si>
    <t>Компот из смеси сухофруктов</t>
  </si>
  <si>
    <t>ТК № 574</t>
  </si>
  <si>
    <t>Хлеб ржаной</t>
  </si>
  <si>
    <t>Итого</t>
  </si>
  <si>
    <t>День 2</t>
  </si>
  <si>
    <t>Чай с сахаром</t>
  </si>
  <si>
    <t>Фрукты свежие</t>
  </si>
  <si>
    <t>ТК № 82</t>
  </si>
  <si>
    <t>ТК № 457</t>
  </si>
  <si>
    <t>ТК № 95</t>
  </si>
  <si>
    <t>Борщ с капустой и картофелем</t>
  </si>
  <si>
    <t>День 3</t>
  </si>
  <si>
    <t>ТК № 129</t>
  </si>
  <si>
    <t>Суп с макаронными изделиями и картофелем</t>
  </si>
  <si>
    <t>ТК № 376</t>
  </si>
  <si>
    <t>Рагу из птицы</t>
  </si>
  <si>
    <t>День 4</t>
  </si>
  <si>
    <t>ТК № 1</t>
  </si>
  <si>
    <t>Салат из капусты белокачанной</t>
  </si>
  <si>
    <t>ТК № 377</t>
  </si>
  <si>
    <t>Пюре картофельное</t>
  </si>
  <si>
    <t>День 5</t>
  </si>
  <si>
    <t>Котлеты, биточки или шницели из птицы припущеные</t>
  </si>
  <si>
    <t>Макаронные изделия отварные</t>
  </si>
  <si>
    <t>ТК № 372</t>
  </si>
  <si>
    <t>ТК № 256</t>
  </si>
  <si>
    <t>День 6</t>
  </si>
  <si>
    <t>ТК № 114</t>
  </si>
  <si>
    <t>Суп картофельный с крупой</t>
  </si>
  <si>
    <t>День 7</t>
  </si>
  <si>
    <t>День 8</t>
  </si>
  <si>
    <t>ТК № 100</t>
  </si>
  <si>
    <t>Рассольник ленинградский</t>
  </si>
  <si>
    <t>День 9</t>
  </si>
  <si>
    <t>День 10</t>
  </si>
  <si>
    <t>Котлеты  или биточки рыбные</t>
  </si>
  <si>
    <t>ТК № 307</t>
  </si>
  <si>
    <t>Свекольник</t>
  </si>
  <si>
    <t>ТК № 98</t>
  </si>
  <si>
    <t>ТК № 573</t>
  </si>
  <si>
    <t>Хлеб пшеничный формовый</t>
  </si>
  <si>
    <t>ТК № 319</t>
  </si>
  <si>
    <t>Шницель натуральный рубленный</t>
  </si>
  <si>
    <t>ТК № 385</t>
  </si>
  <si>
    <t>Рис отварной</t>
  </si>
  <si>
    <t>ТК № 419</t>
  </si>
  <si>
    <t>Соус томатный</t>
  </si>
  <si>
    <t>ТК № 203</t>
  </si>
  <si>
    <t>Каша гречневая рассыпчатая с луком</t>
  </si>
  <si>
    <t>ТК № 14</t>
  </si>
  <si>
    <t>Салат из свежих огурцов</t>
  </si>
  <si>
    <t>ТК № 535</t>
  </si>
  <si>
    <t>Пирожки печеные из сдобного теста</t>
  </si>
  <si>
    <t>Итого за день</t>
  </si>
  <si>
    <t>Среднее значение за период 10 дней</t>
  </si>
  <si>
    <t>Завтрак</t>
  </si>
  <si>
    <t xml:space="preserve">Итого </t>
  </si>
  <si>
    <t>ТК № 232</t>
  </si>
  <si>
    <t>Каша пшеничная молочная вязкая</t>
  </si>
  <si>
    <t>ТК № 69</t>
  </si>
  <si>
    <t>Бутерброды с маслом</t>
  </si>
  <si>
    <t>ТК № 462</t>
  </si>
  <si>
    <t>Какао с молоком</t>
  </si>
  <si>
    <t>ТК № 235</t>
  </si>
  <si>
    <t>Каша пшенная молочная жидкая</t>
  </si>
  <si>
    <t>ТК № 139</t>
  </si>
  <si>
    <t>Суп молочный с макаронным изделиями</t>
  </si>
  <si>
    <t>ТК № 72</t>
  </si>
  <si>
    <t>Бутерброды с джемом или повидлом</t>
  </si>
  <si>
    <t>Чай с молоком</t>
  </si>
  <si>
    <t>ТК № 460</t>
  </si>
  <si>
    <t>ТК № 229</t>
  </si>
  <si>
    <t>Каша "Дружба"</t>
  </si>
  <si>
    <t>ТК № 63</t>
  </si>
  <si>
    <t>Бутерброды с сыром</t>
  </si>
  <si>
    <t>Каша кукурузная молочная жидкая</t>
  </si>
  <si>
    <t>ТК № 233</t>
  </si>
  <si>
    <t>ТК № 217</t>
  </si>
  <si>
    <t>Каша рисовая вязкая</t>
  </si>
  <si>
    <t>ТК № 230</t>
  </si>
  <si>
    <t>Каша манная молочная жидкая</t>
  </si>
  <si>
    <t>ТК № 140</t>
  </si>
  <si>
    <t>Суп молочный с крупой</t>
  </si>
  <si>
    <t>Чай с  лимоном</t>
  </si>
  <si>
    <t>ТК № 459</t>
  </si>
  <si>
    <t>ТК № 234</t>
  </si>
  <si>
    <t>Каша из овсяных хлопьев "Геркулес" жидкая</t>
  </si>
  <si>
    <t>Питание детей 5-11 классов (платное)</t>
  </si>
  <si>
    <t>Питание детей 1-4 классов: от 7 до 12 лет (бесплатно)</t>
  </si>
  <si>
    <t>Соус сметанный натуральный</t>
  </si>
  <si>
    <t>ТК № 409</t>
  </si>
  <si>
    <t>ТК № 26</t>
  </si>
  <si>
    <t>Салат из свёклы отварной</t>
  </si>
  <si>
    <t>Питание детей 5-11 классов из многодетных и малообеспеченных семей: от 12  лет (бесплатно)</t>
  </si>
  <si>
    <t>Питание детей структурных подразделений реализующих программы дошкольного образования:  3-7 лет</t>
  </si>
  <si>
    <t>Второй завтрак</t>
  </si>
  <si>
    <t>Полдник</t>
  </si>
  <si>
    <t>ТК № 526</t>
  </si>
  <si>
    <t>Оладьи (со сгущеным молоком)</t>
  </si>
  <si>
    <t>ТК № 582</t>
  </si>
  <si>
    <t>Печенье</t>
  </si>
  <si>
    <t>ТК № 501</t>
  </si>
  <si>
    <t>Соки овощные, фруктовые и ягодные</t>
  </si>
  <si>
    <t>ТК № 530</t>
  </si>
  <si>
    <t>Ватрушки с повидлом</t>
  </si>
  <si>
    <t>Шанежки с картофелем</t>
  </si>
  <si>
    <t>Булочка ванильная</t>
  </si>
  <si>
    <t>ТК № 541</t>
  </si>
  <si>
    <t>ТК № 551</t>
  </si>
  <si>
    <t>Фарш из свежей капусты</t>
  </si>
  <si>
    <t>Питание детей с ограниченными возможностями здоровья: с 12 лет (бесплатно)</t>
  </si>
  <si>
    <t>ТК № 523</t>
  </si>
  <si>
    <t>Блинчики</t>
  </si>
  <si>
    <t>ТК № 333</t>
  </si>
  <si>
    <t>Голубцы ленивые</t>
  </si>
  <si>
    <t>ТК № 327</t>
  </si>
  <si>
    <t>ТК № 110</t>
  </si>
  <si>
    <t>Солянка сборная мясная</t>
  </si>
  <si>
    <t>Суп картофельный с фрикадельками</t>
  </si>
  <si>
    <t>ТК № 123</t>
  </si>
  <si>
    <t>Колбасные изделия отварные</t>
  </si>
  <si>
    <t>ТК № 77</t>
  </si>
  <si>
    <t>Гуляш из отварной свинины</t>
  </si>
  <si>
    <t>Кнели из птицы с рисом</t>
  </si>
  <si>
    <t>ТК № 371</t>
  </si>
  <si>
    <t>Компот из смесит сухофруктов</t>
  </si>
  <si>
    <t>ТК № 45</t>
  </si>
  <si>
    <t>Салат сельдь с картофелем</t>
  </si>
  <si>
    <t>ТК № 33</t>
  </si>
  <si>
    <t>Салат из свеклы с сыром и чесноком</t>
  </si>
  <si>
    <t>Салат из свежих помидоров</t>
  </si>
  <si>
    <t xml:space="preserve">ТК № 17 </t>
  </si>
  <si>
    <t>ТК № 5</t>
  </si>
  <si>
    <t>Салат из капусты белокочанной и огурцов</t>
  </si>
  <si>
    <t>ТК № 18</t>
  </si>
  <si>
    <t xml:space="preserve">Салат из свежих помидоров и огурцов </t>
  </si>
  <si>
    <t>ТК № 47</t>
  </si>
  <si>
    <t>Винегрет овощной</t>
  </si>
  <si>
    <t>Салат картофельный с огурцами солеными</t>
  </si>
  <si>
    <t>ТК № 43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</si>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</sst>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3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6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6" xfId="0" applyBorder="1"/>
    <xf numFmtId="0" fontId="3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2" fillId="2" borderId="6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" fillId="0" borderId="15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1" fillId="0" borderId="15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2"/>
  <sheetViews>
    <sheetView showWhiteSpace="0" view="pageLayout" topLeftCell="A127" zoomScaleNormal="100" workbookViewId="0">
      <selection activeCell="A94" sqref="A94:XFD95"/>
    </sheetView>
  </sheetViews>
  <sheetFormatPr defaultRowHeight="15" x14ac:dyDescent="0.25"/>
  <cols>
    <col min="1" max="1" width="13.28515625" customWidth="1"/>
    <col min="2" max="2" width="36.7109375" customWidth="1"/>
    <col min="4" max="4" width="13.5703125" customWidth="1"/>
    <col min="5" max="5" width="14.85546875" customWidth="1"/>
    <col min="6" max="6" width="20.42578125" customWidth="1"/>
    <col min="7" max="7" width="18.28515625" customWidth="1"/>
    <col min="11" max="11" width="16" customWidth="1"/>
  </cols>
  <sheetData>
    <row r="1" spans="1:7" x14ac:dyDescent="0.25">
      <c r="A1" s="47" t="s">
        <v>102</v>
      </c>
      <c r="B1" s="47"/>
      <c r="C1" s="47"/>
      <c r="D1" s="47"/>
      <c r="E1" s="47"/>
      <c r="F1" s="47"/>
      <c r="G1" s="47"/>
    </row>
    <row r="2" spans="1:7" x14ac:dyDescent="0.25">
      <c r="A2" s="2" t="s">
        <v>9</v>
      </c>
      <c r="B2" s="2"/>
      <c r="C2" s="2"/>
      <c r="D2" s="2"/>
      <c r="E2" s="2"/>
      <c r="F2" s="2"/>
      <c r="G2" s="2"/>
    </row>
    <row r="3" spans="1:7" ht="15.75" thickBot="1" x14ac:dyDescent="0.3">
      <c r="A3" s="6" t="s">
        <v>10</v>
      </c>
      <c r="B3" s="10"/>
      <c r="C3" s="10"/>
      <c r="D3" s="10"/>
      <c r="E3" s="10"/>
      <c r="F3" s="10"/>
      <c r="G3" s="10"/>
    </row>
    <row r="4" spans="1:7" ht="15.75" customHeight="1" thickBot="1" x14ac:dyDescent="0.3">
      <c r="A4" s="42" t="s">
        <v>0</v>
      </c>
      <c r="B4" s="42" t="s">
        <v>1</v>
      </c>
      <c r="C4" s="1" t="s">
        <v>2</v>
      </c>
      <c r="D4" s="44" t="s">
        <v>4</v>
      </c>
      <c r="E4" s="45"/>
      <c r="F4" s="45"/>
      <c r="G4" s="46"/>
    </row>
    <row r="5" spans="1:7" ht="26.25" x14ac:dyDescent="0.25">
      <c r="A5" s="43"/>
      <c r="B5" s="43"/>
      <c r="C5" s="4" t="s">
        <v>3</v>
      </c>
      <c r="D5" s="4" t="s">
        <v>5</v>
      </c>
      <c r="E5" s="4" t="s">
        <v>6</v>
      </c>
      <c r="F5" s="4" t="s">
        <v>7</v>
      </c>
      <c r="G5" s="4" t="s">
        <v>8</v>
      </c>
    </row>
    <row r="6" spans="1:7" x14ac:dyDescent="0.25">
      <c r="A6" s="5" t="s">
        <v>140</v>
      </c>
      <c r="B6" s="5" t="s">
        <v>141</v>
      </c>
      <c r="C6" s="5">
        <v>100</v>
      </c>
      <c r="D6" s="5">
        <v>6.4</v>
      </c>
      <c r="E6" s="5">
        <v>8.5</v>
      </c>
      <c r="F6" s="5">
        <v>7.4</v>
      </c>
      <c r="G6" s="5">
        <v>132</v>
      </c>
    </row>
    <row r="7" spans="1:7" x14ac:dyDescent="0.25">
      <c r="A7" s="32" t="s">
        <v>23</v>
      </c>
      <c r="B7" s="32" t="s">
        <v>24</v>
      </c>
      <c r="C7" s="32">
        <v>200</v>
      </c>
      <c r="D7" s="32">
        <v>1.48</v>
      </c>
      <c r="E7" s="32">
        <v>3.54</v>
      </c>
      <c r="F7" s="32">
        <v>5.56</v>
      </c>
      <c r="G7" s="32">
        <v>60</v>
      </c>
    </row>
    <row r="8" spans="1:7" x14ac:dyDescent="0.25">
      <c r="A8" s="5" t="s">
        <v>55</v>
      </c>
      <c r="B8" s="5" t="s">
        <v>56</v>
      </c>
      <c r="C8" s="5">
        <v>100</v>
      </c>
      <c r="D8" s="5">
        <f>C8*17.3/100</f>
        <v>17.3</v>
      </c>
      <c r="E8" s="5">
        <f>C8*21/100</f>
        <v>21</v>
      </c>
      <c r="F8" s="5">
        <f>C8*9.9/100</f>
        <v>9.9</v>
      </c>
      <c r="G8" s="5">
        <f>C8*298/100</f>
        <v>298</v>
      </c>
    </row>
    <row r="9" spans="1:7" x14ac:dyDescent="0.25">
      <c r="A9" s="5" t="s">
        <v>39</v>
      </c>
      <c r="B9" s="5" t="s">
        <v>37</v>
      </c>
      <c r="C9" s="5">
        <v>150</v>
      </c>
      <c r="D9" s="5">
        <f>C9*3.7/100</f>
        <v>5.55</v>
      </c>
      <c r="E9" s="5">
        <f>C9*3.3/100</f>
        <v>4.95</v>
      </c>
      <c r="F9" s="5">
        <f>C9*19.7/100</f>
        <v>29.55</v>
      </c>
      <c r="G9" s="5">
        <f>C9*123/100</f>
        <v>184.5</v>
      </c>
    </row>
    <row r="10" spans="1:7" x14ac:dyDescent="0.25">
      <c r="A10" s="5" t="s">
        <v>22</v>
      </c>
      <c r="B10" s="5" t="s">
        <v>19</v>
      </c>
      <c r="C10" s="5">
        <v>200</v>
      </c>
      <c r="D10" s="5">
        <f>C10*0.2/200</f>
        <v>0.2</v>
      </c>
      <c r="E10" s="5">
        <f>C10*0.1/200</f>
        <v>0.1</v>
      </c>
      <c r="F10" s="5">
        <f>C10*9.3/200</f>
        <v>9.3000000000000007</v>
      </c>
      <c r="G10" s="5">
        <f>C10*38/200</f>
        <v>38</v>
      </c>
    </row>
    <row r="11" spans="1:7" x14ac:dyDescent="0.25">
      <c r="A11" s="5" t="s">
        <v>53</v>
      </c>
      <c r="B11" s="5" t="s">
        <v>54</v>
      </c>
      <c r="C11" s="5">
        <v>50</v>
      </c>
      <c r="D11" s="5">
        <f>C11*7.6/100</f>
        <v>3.8</v>
      </c>
      <c r="E11" s="5">
        <f>C11*0.8/100</f>
        <v>0.4</v>
      </c>
      <c r="F11" s="5">
        <f>C11*49.2/100</f>
        <v>24.6</v>
      </c>
      <c r="G11" s="5">
        <f>C11*234/100</f>
        <v>117</v>
      </c>
    </row>
    <row r="12" spans="1:7" x14ac:dyDescent="0.25">
      <c r="A12" s="5" t="s">
        <v>15</v>
      </c>
      <c r="B12" s="5" t="s">
        <v>16</v>
      </c>
      <c r="C12" s="5">
        <v>50</v>
      </c>
      <c r="D12" s="5">
        <f>C12*8/100</f>
        <v>4</v>
      </c>
      <c r="E12" s="5">
        <f>C12*1.5/100</f>
        <v>0.75</v>
      </c>
      <c r="F12" s="5">
        <f>C12*40.1/100</f>
        <v>20.05</v>
      </c>
      <c r="G12" s="5">
        <f>C12*206/100</f>
        <v>103</v>
      </c>
    </row>
    <row r="13" spans="1:7" x14ac:dyDescent="0.25">
      <c r="A13" s="40" t="s">
        <v>67</v>
      </c>
      <c r="B13" s="41"/>
      <c r="C13" s="5">
        <f>SUM(C6:C12)</f>
        <v>850</v>
      </c>
      <c r="D13" s="5">
        <f>SUM(D6:D12)</f>
        <v>38.729999999999997</v>
      </c>
      <c r="E13" s="5">
        <f>SUM(E6:E12)</f>
        <v>39.24</v>
      </c>
      <c r="F13" s="5">
        <f>SUM(F6:F12)</f>
        <v>106.36</v>
      </c>
      <c r="G13" s="5">
        <f>SUM(G6:G12)</f>
        <v>932.5</v>
      </c>
    </row>
    <row r="14" spans="1:7" x14ac:dyDescent="0.25">
      <c r="A14" s="10"/>
      <c r="B14" s="10"/>
      <c r="C14" s="10"/>
      <c r="D14" s="10"/>
      <c r="E14" s="10"/>
      <c r="F14" s="10"/>
      <c r="G14" s="10"/>
    </row>
    <row r="15" spans="1:7" x14ac:dyDescent="0.25">
      <c r="A15" s="2" t="s">
        <v>18</v>
      </c>
      <c r="B15" s="2"/>
      <c r="C15" s="2"/>
      <c r="D15" s="2"/>
      <c r="E15" s="2"/>
      <c r="F15" s="2"/>
      <c r="G15" s="2"/>
    </row>
    <row r="16" spans="1:7" ht="15.75" thickBot="1" x14ac:dyDescent="0.3">
      <c r="A16" s="6" t="s">
        <v>10</v>
      </c>
      <c r="B16" s="10"/>
      <c r="C16" s="10"/>
      <c r="D16" s="10"/>
      <c r="E16" s="10"/>
      <c r="F16" s="10"/>
      <c r="G16" s="10"/>
    </row>
    <row r="17" spans="1:7" ht="15.75" thickBot="1" x14ac:dyDescent="0.3">
      <c r="A17" s="42" t="s">
        <v>0</v>
      </c>
      <c r="B17" s="42" t="s">
        <v>1</v>
      </c>
      <c r="C17" s="1" t="s">
        <v>2</v>
      </c>
      <c r="D17" s="44" t="s">
        <v>4</v>
      </c>
      <c r="E17" s="45"/>
      <c r="F17" s="45"/>
      <c r="G17" s="46"/>
    </row>
    <row r="18" spans="1:7" ht="26.25" x14ac:dyDescent="0.25">
      <c r="A18" s="43"/>
      <c r="B18" s="43"/>
      <c r="C18" s="4" t="s">
        <v>3</v>
      </c>
      <c r="D18" s="4" t="s">
        <v>5</v>
      </c>
      <c r="E18" s="4" t="s">
        <v>6</v>
      </c>
      <c r="F18" s="4" t="s">
        <v>7</v>
      </c>
      <c r="G18" s="4" t="s">
        <v>8</v>
      </c>
    </row>
    <row r="19" spans="1:7" x14ac:dyDescent="0.25">
      <c r="A19" s="5" t="s">
        <v>31</v>
      </c>
      <c r="B19" s="5" t="s">
        <v>32</v>
      </c>
      <c r="C19" s="5">
        <v>100</v>
      </c>
      <c r="D19" s="5">
        <f>C19*1.45/100</f>
        <v>1.45</v>
      </c>
      <c r="E19" s="5">
        <f>C19*6/100</f>
        <v>6</v>
      </c>
      <c r="F19" s="5">
        <f>C19*8.4/100</f>
        <v>8.4</v>
      </c>
      <c r="G19" s="5">
        <f>C19*94/100</f>
        <v>94</v>
      </c>
    </row>
    <row r="20" spans="1:7" x14ac:dyDescent="0.25">
      <c r="A20" s="5" t="s">
        <v>130</v>
      </c>
      <c r="B20" s="32" t="s">
        <v>131</v>
      </c>
      <c r="C20" s="5">
        <v>200</v>
      </c>
      <c r="D20" s="5">
        <f>C20*32/1000</f>
        <v>6.4</v>
      </c>
      <c r="E20" s="5">
        <f>C20*41.7/1000</f>
        <v>8.34</v>
      </c>
      <c r="F20" s="5">
        <f>C20*6.6/1000</f>
        <v>1.32</v>
      </c>
      <c r="G20" s="5">
        <f>C20*530/1000</f>
        <v>106</v>
      </c>
    </row>
    <row r="21" spans="1:7" x14ac:dyDescent="0.25">
      <c r="A21" s="5" t="s">
        <v>50</v>
      </c>
      <c r="B21" s="5" t="s">
        <v>49</v>
      </c>
      <c r="C21" s="5">
        <v>100</v>
      </c>
      <c r="D21" s="5">
        <f>C21*9/70</f>
        <v>12.857142857142858</v>
      </c>
      <c r="E21" s="5">
        <f>C21*1.1/70</f>
        <v>1.5714285714285716</v>
      </c>
      <c r="F21" s="5">
        <f>C21*7/70</f>
        <v>10</v>
      </c>
      <c r="G21" s="5">
        <f>C21*74/70</f>
        <v>105.71428571428571</v>
      </c>
    </row>
    <row r="22" spans="1:7" x14ac:dyDescent="0.25">
      <c r="A22" s="5" t="s">
        <v>57</v>
      </c>
      <c r="B22" s="5" t="s">
        <v>58</v>
      </c>
      <c r="C22" s="5">
        <v>150</v>
      </c>
      <c r="D22" s="5">
        <f>C22*25.1/1000</f>
        <v>3.7650000000000001</v>
      </c>
      <c r="E22" s="5">
        <f>C22*36.2/1000</f>
        <v>5.43</v>
      </c>
      <c r="F22" s="5">
        <f>C22*259/1000</f>
        <v>38.85</v>
      </c>
      <c r="G22" s="5">
        <f>C22*1462/1000</f>
        <v>219.3</v>
      </c>
    </row>
    <row r="23" spans="1:7" x14ac:dyDescent="0.25">
      <c r="A23" s="5" t="s">
        <v>13</v>
      </c>
      <c r="B23" s="5" t="s">
        <v>14</v>
      </c>
      <c r="C23" s="5">
        <v>200</v>
      </c>
      <c r="D23" s="5">
        <f>C23*0.6/200</f>
        <v>0.6</v>
      </c>
      <c r="E23" s="5">
        <f>C23*0.1/200</f>
        <v>0.1</v>
      </c>
      <c r="F23" s="5">
        <f>C23*20.1/200</f>
        <v>20.100000000000001</v>
      </c>
      <c r="G23" s="5">
        <f>C23*84/200</f>
        <v>84</v>
      </c>
    </row>
    <row r="24" spans="1:7" x14ac:dyDescent="0.25">
      <c r="A24" s="5" t="s">
        <v>53</v>
      </c>
      <c r="B24" s="5" t="s">
        <v>54</v>
      </c>
      <c r="C24" s="5">
        <v>50</v>
      </c>
      <c r="D24" s="5">
        <f>C24*7.6/100</f>
        <v>3.8</v>
      </c>
      <c r="E24" s="5">
        <f>C24*0.8/100</f>
        <v>0.4</v>
      </c>
      <c r="F24" s="5">
        <f>C24*49.2/100</f>
        <v>24.6</v>
      </c>
      <c r="G24" s="5">
        <f>C24*234/100</f>
        <v>117</v>
      </c>
    </row>
    <row r="25" spans="1:7" x14ac:dyDescent="0.25">
      <c r="A25" s="5" t="s">
        <v>15</v>
      </c>
      <c r="B25" s="5" t="s">
        <v>16</v>
      </c>
      <c r="C25" s="5">
        <v>50</v>
      </c>
      <c r="D25" s="5">
        <f>C25*8/100</f>
        <v>4</v>
      </c>
      <c r="E25" s="5">
        <f>C25*1.5/100</f>
        <v>0.75</v>
      </c>
      <c r="F25" s="5">
        <f>C25*40.1/100</f>
        <v>20.05</v>
      </c>
      <c r="G25" s="5">
        <f>C25*206/100</f>
        <v>103</v>
      </c>
    </row>
    <row r="26" spans="1:7" hidden="1" x14ac:dyDescent="0.25">
      <c r="A26" s="5" t="s">
        <v>15</v>
      </c>
      <c r="B26" s="5" t="s">
        <v>16</v>
      </c>
      <c r="C26" s="5">
        <v>50</v>
      </c>
      <c r="D26" s="5">
        <f>C26*8/100</f>
        <v>4</v>
      </c>
      <c r="E26" s="5">
        <f>C26*1.5/100</f>
        <v>0.75</v>
      </c>
      <c r="F26" s="5">
        <f>C26*40.1/100</f>
        <v>20.05</v>
      </c>
      <c r="G26" s="5">
        <f>C26*206/100</f>
        <v>103</v>
      </c>
    </row>
    <row r="27" spans="1:7" hidden="1" x14ac:dyDescent="0.25">
      <c r="A27" s="40" t="s">
        <v>17</v>
      </c>
      <c r="B27" s="41"/>
      <c r="C27" s="5">
        <f>SUM(C19:C25)</f>
        <v>850</v>
      </c>
      <c r="D27" s="5">
        <f>SUM(D19:D25)</f>
        <v>32.872142857142862</v>
      </c>
      <c r="E27" s="5">
        <f>SUM(E19:E25)</f>
        <v>22.591428571428573</v>
      </c>
      <c r="F27" s="5">
        <f>SUM(F19:F25)</f>
        <v>123.32000000000001</v>
      </c>
      <c r="G27" s="5">
        <f>SUM(G19:G25)</f>
        <v>829.01428571428573</v>
      </c>
    </row>
    <row r="28" spans="1:7" x14ac:dyDescent="0.25">
      <c r="A28" s="40" t="s">
        <v>67</v>
      </c>
      <c r="B28" s="41"/>
      <c r="C28" s="5">
        <f>SUM(C27)</f>
        <v>850</v>
      </c>
      <c r="D28" s="5">
        <f>SUM(D27)</f>
        <v>32.872142857142862</v>
      </c>
      <c r="E28" s="28">
        <f>SUM(E27)</f>
        <v>22.591428571428573</v>
      </c>
      <c r="F28" s="5">
        <f>SUM(F27)</f>
        <v>123.32000000000001</v>
      </c>
      <c r="G28" s="28">
        <f>SUM(G27)</f>
        <v>829.01428571428573</v>
      </c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2" t="s">
        <v>25</v>
      </c>
      <c r="B34" s="2"/>
      <c r="C34" s="2"/>
      <c r="D34" s="2"/>
      <c r="E34" s="2"/>
      <c r="F34" s="2"/>
      <c r="G34" s="2"/>
    </row>
    <row r="35" spans="1:7" ht="15.75" thickBot="1" x14ac:dyDescent="0.3">
      <c r="A35" s="6" t="s">
        <v>10</v>
      </c>
      <c r="B35" s="10"/>
      <c r="C35" s="10"/>
      <c r="D35" s="10"/>
      <c r="E35" s="10"/>
      <c r="F35" s="10"/>
      <c r="G35" s="10"/>
    </row>
    <row r="36" spans="1:7" ht="15.75" thickBot="1" x14ac:dyDescent="0.3">
      <c r="A36" s="42" t="s">
        <v>0</v>
      </c>
      <c r="B36" s="42" t="s">
        <v>1</v>
      </c>
      <c r="C36" s="1" t="s">
        <v>2</v>
      </c>
      <c r="D36" s="44" t="s">
        <v>4</v>
      </c>
      <c r="E36" s="45"/>
      <c r="F36" s="45"/>
      <c r="G36" s="46"/>
    </row>
    <row r="37" spans="1:7" ht="26.25" x14ac:dyDescent="0.25">
      <c r="A37" s="43"/>
      <c r="B37" s="43"/>
      <c r="C37" s="4" t="s">
        <v>3</v>
      </c>
      <c r="D37" s="4" t="s">
        <v>5</v>
      </c>
      <c r="E37" s="4" t="s">
        <v>6</v>
      </c>
      <c r="F37" s="4" t="s">
        <v>7</v>
      </c>
      <c r="G37" s="4" t="s">
        <v>8</v>
      </c>
    </row>
    <row r="38" spans="1:7" x14ac:dyDescent="0.25">
      <c r="A38" s="5" t="s">
        <v>142</v>
      </c>
      <c r="B38" s="5" t="s">
        <v>143</v>
      </c>
      <c r="C38" s="5">
        <v>100</v>
      </c>
      <c r="D38" s="5">
        <v>4.8</v>
      </c>
      <c r="E38" s="5">
        <v>10.7</v>
      </c>
      <c r="F38" s="5">
        <v>6.5</v>
      </c>
      <c r="G38" s="5">
        <v>141</v>
      </c>
    </row>
    <row r="39" spans="1:7" x14ac:dyDescent="0.25">
      <c r="A39" s="32" t="s">
        <v>133</v>
      </c>
      <c r="B39" s="32" t="s">
        <v>132</v>
      </c>
      <c r="C39" s="32">
        <v>200</v>
      </c>
      <c r="D39" s="32">
        <v>7.16</v>
      </c>
      <c r="E39" s="32">
        <v>7.66</v>
      </c>
      <c r="F39" s="32">
        <v>6</v>
      </c>
      <c r="G39" s="32">
        <v>121.6</v>
      </c>
    </row>
    <row r="40" spans="1:7" x14ac:dyDescent="0.25">
      <c r="A40" s="5" t="s">
        <v>135</v>
      </c>
      <c r="B40" s="5" t="s">
        <v>134</v>
      </c>
      <c r="C40" s="5">
        <v>100</v>
      </c>
      <c r="D40" s="5">
        <f>C40*10.5/100</f>
        <v>10.5</v>
      </c>
      <c r="E40" s="5">
        <f>C40*17.1/100</f>
        <v>17.100000000000001</v>
      </c>
      <c r="F40" s="5">
        <f>C40*0.2/100</f>
        <v>0.2</v>
      </c>
      <c r="G40" s="5">
        <f>C40*197/100</f>
        <v>197</v>
      </c>
    </row>
    <row r="41" spans="1:7" x14ac:dyDescent="0.25">
      <c r="A41" s="5" t="s">
        <v>59</v>
      </c>
      <c r="B41" s="5" t="s">
        <v>60</v>
      </c>
      <c r="C41" s="5">
        <v>30</v>
      </c>
      <c r="D41" s="5">
        <f>C41*9.5/1000</f>
        <v>0.28499999999999998</v>
      </c>
      <c r="E41" s="5">
        <f>C41*32.8/1000</f>
        <v>0.98399999999999987</v>
      </c>
      <c r="F41" s="5">
        <f>C41*46/1000</f>
        <v>1.38</v>
      </c>
      <c r="G41" s="5">
        <f>C41*519/1000</f>
        <v>15.57</v>
      </c>
    </row>
    <row r="42" spans="1:7" x14ac:dyDescent="0.25">
      <c r="A42" s="5" t="s">
        <v>61</v>
      </c>
      <c r="B42" s="5" t="s">
        <v>62</v>
      </c>
      <c r="C42" s="5">
        <v>150</v>
      </c>
      <c r="D42" s="5">
        <f>C42*60/1100</f>
        <v>8.1818181818181817</v>
      </c>
      <c r="E42" s="5">
        <f>C42*33.8/1100</f>
        <v>4.6090909090909093</v>
      </c>
      <c r="F42" s="5">
        <f>C42*268.6/1100</f>
        <v>36.627272727272725</v>
      </c>
      <c r="G42" s="5">
        <f>C42*1620/1100</f>
        <v>220.90909090909091</v>
      </c>
    </row>
    <row r="43" spans="1:7" x14ac:dyDescent="0.25">
      <c r="A43" s="5" t="s">
        <v>22</v>
      </c>
      <c r="B43" s="5" t="s">
        <v>19</v>
      </c>
      <c r="C43" s="5">
        <v>200</v>
      </c>
      <c r="D43" s="5">
        <f>C43*0.2/200</f>
        <v>0.2</v>
      </c>
      <c r="E43" s="5">
        <f>C43*0.1/200</f>
        <v>0.1</v>
      </c>
      <c r="F43" s="5">
        <f>C43*9.3/200</f>
        <v>9.3000000000000007</v>
      </c>
      <c r="G43" s="5">
        <f>C43*38/200</f>
        <v>38</v>
      </c>
    </row>
    <row r="44" spans="1:7" x14ac:dyDescent="0.25">
      <c r="A44" s="5" t="s">
        <v>53</v>
      </c>
      <c r="B44" s="5" t="s">
        <v>54</v>
      </c>
      <c r="C44" s="5">
        <v>50</v>
      </c>
      <c r="D44" s="5">
        <f>C44*7.6/100</f>
        <v>3.8</v>
      </c>
      <c r="E44" s="5">
        <f>C44*0.8/100</f>
        <v>0.4</v>
      </c>
      <c r="F44" s="5">
        <f>C44*49.2/100</f>
        <v>24.6</v>
      </c>
      <c r="G44" s="5">
        <f>C44*234/100</f>
        <v>117</v>
      </c>
    </row>
    <row r="45" spans="1:7" x14ac:dyDescent="0.25">
      <c r="A45" s="5" t="s">
        <v>15</v>
      </c>
      <c r="B45" s="5" t="s">
        <v>16</v>
      </c>
      <c r="C45" s="5">
        <v>50</v>
      </c>
      <c r="D45" s="5">
        <f>C45*8/100</f>
        <v>4</v>
      </c>
      <c r="E45" s="5">
        <f>C45*1.5/100</f>
        <v>0.75</v>
      </c>
      <c r="F45" s="5">
        <f>C45*40.1/100</f>
        <v>20.05</v>
      </c>
      <c r="G45" s="5">
        <f>C45*206/100</f>
        <v>103</v>
      </c>
    </row>
    <row r="46" spans="1:7" x14ac:dyDescent="0.25">
      <c r="A46" s="40" t="s">
        <v>67</v>
      </c>
      <c r="B46" s="41"/>
      <c r="C46" s="5">
        <f>SUM(C38:C45)</f>
        <v>880</v>
      </c>
      <c r="D46" s="5">
        <f>SUM(D38:D45)</f>
        <v>38.926818181818184</v>
      </c>
      <c r="E46" s="5">
        <f>SUM(E38:E45)</f>
        <v>42.303090909090912</v>
      </c>
      <c r="F46" s="5">
        <f>SUM(F38:F45)</f>
        <v>104.65727272727271</v>
      </c>
      <c r="G46" s="5">
        <f>SUM(G38:G45)</f>
        <v>954.07909090909095</v>
      </c>
    </row>
    <row r="48" spans="1:7" x14ac:dyDescent="0.25">
      <c r="A48" s="2" t="s">
        <v>30</v>
      </c>
      <c r="B48" s="2"/>
      <c r="C48" s="2"/>
      <c r="D48" s="2"/>
      <c r="E48" s="2"/>
      <c r="F48" s="2"/>
      <c r="G48" s="2"/>
    </row>
    <row r="49" spans="1:7" ht="15.75" thickBot="1" x14ac:dyDescent="0.3">
      <c r="A49" s="6" t="s">
        <v>10</v>
      </c>
      <c r="B49" s="10"/>
      <c r="C49" s="10"/>
      <c r="D49" s="10"/>
      <c r="E49" s="10"/>
      <c r="F49" s="10"/>
      <c r="G49" s="10"/>
    </row>
    <row r="50" spans="1:7" ht="15.75" thickBot="1" x14ac:dyDescent="0.3">
      <c r="A50" s="42" t="s">
        <v>0</v>
      </c>
      <c r="B50" s="42" t="s">
        <v>1</v>
      </c>
      <c r="C50" s="1" t="s">
        <v>2</v>
      </c>
      <c r="D50" s="44" t="s">
        <v>4</v>
      </c>
      <c r="E50" s="45"/>
      <c r="F50" s="45"/>
      <c r="G50" s="46"/>
    </row>
    <row r="51" spans="1:7" ht="26.25" x14ac:dyDescent="0.25">
      <c r="A51" s="43"/>
      <c r="B51" s="43"/>
      <c r="C51" s="4" t="s">
        <v>3</v>
      </c>
      <c r="D51" s="4" t="s">
        <v>5</v>
      </c>
      <c r="E51" s="4" t="s">
        <v>6</v>
      </c>
      <c r="F51" s="4" t="s">
        <v>7</v>
      </c>
      <c r="G51" s="4" t="s">
        <v>8</v>
      </c>
    </row>
    <row r="52" spans="1:7" x14ac:dyDescent="0.25">
      <c r="A52" s="5" t="s">
        <v>145</v>
      </c>
      <c r="B52" s="5" t="s">
        <v>144</v>
      </c>
      <c r="C52" s="5">
        <v>100</v>
      </c>
      <c r="D52" s="5">
        <v>1</v>
      </c>
      <c r="E52" s="5">
        <v>6.2</v>
      </c>
      <c r="F52" s="5">
        <v>3.6</v>
      </c>
      <c r="G52" s="5">
        <v>74</v>
      </c>
    </row>
    <row r="53" spans="1:7" x14ac:dyDescent="0.25">
      <c r="A53" s="32" t="s">
        <v>45</v>
      </c>
      <c r="B53" s="32" t="s">
        <v>46</v>
      </c>
      <c r="C53" s="32">
        <v>200</v>
      </c>
      <c r="D53" s="32">
        <v>2.1</v>
      </c>
      <c r="E53" s="32">
        <v>4.08</v>
      </c>
      <c r="F53" s="32">
        <v>10.6</v>
      </c>
      <c r="G53" s="32">
        <v>87.6</v>
      </c>
    </row>
    <row r="54" spans="1:7" x14ac:dyDescent="0.25">
      <c r="A54" s="5" t="s">
        <v>138</v>
      </c>
      <c r="B54" s="5" t="s">
        <v>137</v>
      </c>
      <c r="C54" s="5">
        <v>100</v>
      </c>
      <c r="D54" s="5">
        <f>C54*11.5/100</f>
        <v>11.5</v>
      </c>
      <c r="E54" s="5">
        <f>C54*10.3/100</f>
        <v>10.3</v>
      </c>
      <c r="F54" s="5">
        <f>C54*5.4/100</f>
        <v>5.4</v>
      </c>
      <c r="G54" s="5">
        <f>C54*160/100</f>
        <v>160</v>
      </c>
    </row>
    <row r="55" spans="1:7" x14ac:dyDescent="0.25">
      <c r="A55" s="5" t="s">
        <v>104</v>
      </c>
      <c r="B55" s="5" t="s">
        <v>103</v>
      </c>
      <c r="C55" s="5">
        <v>30</v>
      </c>
      <c r="D55" s="5">
        <f>C55*29.5/1000</f>
        <v>0.88500000000000001</v>
      </c>
      <c r="E55" s="5">
        <f>C55*186.9/1000</f>
        <v>5.6070000000000002</v>
      </c>
      <c r="F55" s="5">
        <f>C55*48.5/1000</f>
        <v>1.4550000000000001</v>
      </c>
      <c r="G55" s="5">
        <f>C55*1994/1000</f>
        <v>59.82</v>
      </c>
    </row>
    <row r="56" spans="1:7" x14ac:dyDescent="0.25">
      <c r="A56" s="5" t="s">
        <v>39</v>
      </c>
      <c r="B56" s="5" t="s">
        <v>37</v>
      </c>
      <c r="C56" s="5">
        <v>150</v>
      </c>
      <c r="D56" s="5">
        <f>C56*3.7/100</f>
        <v>5.55</v>
      </c>
      <c r="E56" s="5">
        <f>C56*3.3/100</f>
        <v>4.95</v>
      </c>
      <c r="F56" s="5">
        <f>C56*19.7/100</f>
        <v>29.55</v>
      </c>
      <c r="G56" s="5">
        <f>C56*123/100</f>
        <v>184.5</v>
      </c>
    </row>
    <row r="57" spans="1:7" x14ac:dyDescent="0.25">
      <c r="A57" s="5" t="s">
        <v>22</v>
      </c>
      <c r="B57" s="5" t="s">
        <v>19</v>
      </c>
      <c r="C57" s="5">
        <v>200</v>
      </c>
      <c r="D57" s="5">
        <f>C57*0.2/200</f>
        <v>0.2</v>
      </c>
      <c r="E57" s="5">
        <f>C57*0.1/200</f>
        <v>0.1</v>
      </c>
      <c r="F57" s="5">
        <f>C57*9.3/200</f>
        <v>9.3000000000000007</v>
      </c>
      <c r="G57" s="5">
        <f>C57*38/200</f>
        <v>38</v>
      </c>
    </row>
    <row r="58" spans="1:7" x14ac:dyDescent="0.25">
      <c r="A58" s="5" t="s">
        <v>53</v>
      </c>
      <c r="B58" s="5" t="s">
        <v>54</v>
      </c>
      <c r="C58" s="5">
        <v>50</v>
      </c>
      <c r="D58" s="5">
        <f>C58*7.6/100</f>
        <v>3.8</v>
      </c>
      <c r="E58" s="5">
        <f>C58*0.8/100</f>
        <v>0.4</v>
      </c>
      <c r="F58" s="5">
        <f>C58*49.2/100</f>
        <v>24.6</v>
      </c>
      <c r="G58" s="5">
        <f>C58*234/100</f>
        <v>117</v>
      </c>
    </row>
    <row r="59" spans="1:7" x14ac:dyDescent="0.25">
      <c r="A59" s="5" t="s">
        <v>15</v>
      </c>
      <c r="B59" s="5" t="s">
        <v>16</v>
      </c>
      <c r="C59" s="5">
        <v>50</v>
      </c>
      <c r="D59" s="5">
        <f>C59*8/100</f>
        <v>4</v>
      </c>
      <c r="E59" s="5">
        <f>C59*1.5/100</f>
        <v>0.75</v>
      </c>
      <c r="F59" s="5">
        <f>C59*40.1/100</f>
        <v>20.05</v>
      </c>
      <c r="G59" s="5">
        <f>C59*206/100</f>
        <v>103</v>
      </c>
    </row>
    <row r="60" spans="1:7" x14ac:dyDescent="0.25">
      <c r="A60" s="40" t="s">
        <v>67</v>
      </c>
      <c r="B60" s="41"/>
      <c r="C60" s="5">
        <f>SUM(C52:C59)</f>
        <v>880</v>
      </c>
      <c r="D60" s="5">
        <f>SUM(D52:D59)</f>
        <v>29.035</v>
      </c>
      <c r="E60" s="28">
        <f>SUM(E52:E59)</f>
        <v>32.387</v>
      </c>
      <c r="F60" s="5">
        <f>SUM(F52:F59)</f>
        <v>104.55499999999999</v>
      </c>
      <c r="G60" s="5">
        <f>SUM(G52:G59)</f>
        <v>823.92000000000007</v>
      </c>
    </row>
    <row r="62" spans="1:7" x14ac:dyDescent="0.25">
      <c r="A62" s="18"/>
      <c r="B62" s="18"/>
      <c r="C62" s="18"/>
      <c r="D62" s="18"/>
      <c r="E62" s="18"/>
      <c r="F62" s="18"/>
      <c r="G62" s="18"/>
    </row>
    <row r="65" spans="1:7" x14ac:dyDescent="0.25">
      <c r="A65" s="2" t="s">
        <v>35</v>
      </c>
      <c r="B65" s="2"/>
      <c r="C65" s="2"/>
      <c r="D65" s="2"/>
      <c r="E65" s="2"/>
      <c r="F65" s="2"/>
      <c r="G65" s="2"/>
    </row>
    <row r="66" spans="1:7" ht="15.75" thickBot="1" x14ac:dyDescent="0.3">
      <c r="A66" s="6" t="s">
        <v>10</v>
      </c>
      <c r="B66" s="10"/>
      <c r="C66" s="10"/>
      <c r="D66" s="10"/>
      <c r="E66" s="10"/>
      <c r="F66" s="10"/>
      <c r="G66" s="10"/>
    </row>
    <row r="67" spans="1:7" ht="15.75" thickBot="1" x14ac:dyDescent="0.3">
      <c r="A67" s="42" t="s">
        <v>0</v>
      </c>
      <c r="B67" s="42" t="s">
        <v>1</v>
      </c>
      <c r="C67" s="1" t="s">
        <v>2</v>
      </c>
      <c r="D67" s="44" t="s">
        <v>4</v>
      </c>
      <c r="E67" s="45"/>
      <c r="F67" s="45"/>
      <c r="G67" s="46"/>
    </row>
    <row r="68" spans="1:7" ht="26.25" x14ac:dyDescent="0.25">
      <c r="A68" s="43"/>
      <c r="B68" s="43"/>
      <c r="C68" s="4" t="s">
        <v>3</v>
      </c>
      <c r="D68" s="4" t="s">
        <v>5</v>
      </c>
      <c r="E68" s="4" t="s">
        <v>6</v>
      </c>
      <c r="F68" s="4" t="s">
        <v>7</v>
      </c>
      <c r="G68" s="4" t="s">
        <v>8</v>
      </c>
    </row>
    <row r="69" spans="1:7" x14ac:dyDescent="0.25">
      <c r="A69" s="5" t="s">
        <v>63</v>
      </c>
      <c r="B69" s="5" t="s">
        <v>64</v>
      </c>
      <c r="C69" s="5">
        <v>100</v>
      </c>
      <c r="D69" s="5">
        <f>C69*0.7/100</f>
        <v>0.7</v>
      </c>
      <c r="E69" s="5">
        <f>C69*6/100</f>
        <v>6</v>
      </c>
      <c r="F69" s="5">
        <f>C69*1.8/100</f>
        <v>1.8</v>
      </c>
      <c r="G69" s="5">
        <f>C69*64/100</f>
        <v>64</v>
      </c>
    </row>
    <row r="70" spans="1:7" x14ac:dyDescent="0.25">
      <c r="A70" s="5" t="s">
        <v>52</v>
      </c>
      <c r="B70" s="5" t="s">
        <v>51</v>
      </c>
      <c r="C70" s="5">
        <v>200</v>
      </c>
      <c r="D70" s="5">
        <f>C70*9.3/1000</f>
        <v>1.8600000000000003</v>
      </c>
      <c r="E70" s="5">
        <f>C70*18.9/1000</f>
        <v>3.7799999999999994</v>
      </c>
      <c r="F70" s="5">
        <f>C70*41.3/1000</f>
        <v>8.26</v>
      </c>
      <c r="G70" s="5">
        <f>C70*373/1000</f>
        <v>74.599999999999994</v>
      </c>
    </row>
    <row r="71" spans="1:7" x14ac:dyDescent="0.25">
      <c r="A71" s="5" t="s">
        <v>127</v>
      </c>
      <c r="B71" s="5" t="s">
        <v>128</v>
      </c>
      <c r="C71" s="5">
        <v>100</v>
      </c>
      <c r="D71" s="5">
        <v>11</v>
      </c>
      <c r="E71" s="5">
        <v>12.4</v>
      </c>
      <c r="F71" s="5">
        <v>4</v>
      </c>
      <c r="G71" s="5">
        <v>173</v>
      </c>
    </row>
    <row r="72" spans="1:7" x14ac:dyDescent="0.25">
      <c r="A72" s="5" t="s">
        <v>57</v>
      </c>
      <c r="B72" s="5" t="s">
        <v>58</v>
      </c>
      <c r="C72" s="5">
        <v>150</v>
      </c>
      <c r="D72" s="5">
        <f>C72*25.1/1000</f>
        <v>3.7650000000000001</v>
      </c>
      <c r="E72" s="5">
        <f>C72*36.2/1000</f>
        <v>5.43</v>
      </c>
      <c r="F72" s="5">
        <f>C72*259/1000</f>
        <v>38.85</v>
      </c>
      <c r="G72" s="5">
        <f>C72*1462/1000</f>
        <v>219.3</v>
      </c>
    </row>
    <row r="73" spans="1:7" x14ac:dyDescent="0.25">
      <c r="A73" s="5" t="s">
        <v>13</v>
      </c>
      <c r="B73" s="5" t="s">
        <v>139</v>
      </c>
      <c r="C73" s="5">
        <v>200</v>
      </c>
      <c r="D73" s="5">
        <v>0.6</v>
      </c>
      <c r="E73" s="5">
        <v>0.1</v>
      </c>
      <c r="F73" s="5">
        <v>20.100000000000001</v>
      </c>
      <c r="G73" s="5">
        <v>84</v>
      </c>
    </row>
    <row r="74" spans="1:7" x14ac:dyDescent="0.25">
      <c r="A74" s="5" t="s">
        <v>53</v>
      </c>
      <c r="B74" s="5" t="s">
        <v>54</v>
      </c>
      <c r="C74" s="5">
        <v>50</v>
      </c>
      <c r="D74" s="5">
        <f>C74*7.6/100</f>
        <v>3.8</v>
      </c>
      <c r="E74" s="5">
        <f>C74*0.8/100</f>
        <v>0.4</v>
      </c>
      <c r="F74" s="5">
        <f>C74*49.2/100</f>
        <v>24.6</v>
      </c>
      <c r="G74" s="5">
        <f>C74*234/100</f>
        <v>117</v>
      </c>
    </row>
    <row r="75" spans="1:7" x14ac:dyDescent="0.25">
      <c r="A75" s="5" t="s">
        <v>15</v>
      </c>
      <c r="B75" s="5" t="s">
        <v>16</v>
      </c>
      <c r="C75" s="5">
        <v>50</v>
      </c>
      <c r="D75" s="5">
        <f>C75*8/100</f>
        <v>4</v>
      </c>
      <c r="E75" s="5">
        <f>C75*1.5/100</f>
        <v>0.75</v>
      </c>
      <c r="F75" s="5">
        <f>C75*40.1/100</f>
        <v>20.05</v>
      </c>
      <c r="G75" s="5">
        <f>C75*206/100</f>
        <v>103</v>
      </c>
    </row>
    <row r="76" spans="1:7" x14ac:dyDescent="0.25">
      <c r="A76" s="40" t="s">
        <v>67</v>
      </c>
      <c r="B76" s="41"/>
      <c r="C76" s="5">
        <f>SUM(C69:C75)</f>
        <v>850</v>
      </c>
      <c r="D76" s="5">
        <f>SUM(D69:D75)</f>
        <v>25.725000000000001</v>
      </c>
      <c r="E76" s="28">
        <f>SUM(E69:E75)</f>
        <v>28.86</v>
      </c>
      <c r="F76" s="28">
        <f>SUM(F69:F75)</f>
        <v>117.66000000000001</v>
      </c>
      <c r="G76" s="28">
        <f>SUM(G69:G75)</f>
        <v>834.90000000000009</v>
      </c>
    </row>
    <row r="78" spans="1:7" x14ac:dyDescent="0.25">
      <c r="A78" s="2" t="s">
        <v>40</v>
      </c>
      <c r="B78" s="2"/>
      <c r="C78" s="2"/>
      <c r="D78" s="2"/>
      <c r="E78" s="2"/>
      <c r="F78" s="2"/>
      <c r="G78" s="2"/>
    </row>
    <row r="79" spans="1:7" ht="15.75" thickBot="1" x14ac:dyDescent="0.3">
      <c r="A79" s="6" t="s">
        <v>10</v>
      </c>
      <c r="B79" s="10"/>
      <c r="C79" s="10"/>
      <c r="D79" s="10"/>
      <c r="E79" s="10"/>
      <c r="F79" s="10"/>
      <c r="G79" s="10"/>
    </row>
    <row r="80" spans="1:7" ht="15.75" thickBot="1" x14ac:dyDescent="0.3">
      <c r="A80" s="42" t="s">
        <v>0</v>
      </c>
      <c r="B80" s="42" t="s">
        <v>1</v>
      </c>
      <c r="C80" s="1" t="s">
        <v>2</v>
      </c>
      <c r="D80" s="44" t="s">
        <v>4</v>
      </c>
      <c r="E80" s="45"/>
      <c r="F80" s="45"/>
      <c r="G80" s="46"/>
    </row>
    <row r="81" spans="1:7" ht="26.25" x14ac:dyDescent="0.25">
      <c r="A81" s="43"/>
      <c r="B81" s="43"/>
      <c r="C81" s="4" t="s">
        <v>3</v>
      </c>
      <c r="D81" s="4" t="s">
        <v>5</v>
      </c>
      <c r="E81" s="4" t="s">
        <v>6</v>
      </c>
      <c r="F81" s="4" t="s">
        <v>7</v>
      </c>
      <c r="G81" s="4" t="s">
        <v>8</v>
      </c>
    </row>
    <row r="82" spans="1:7" ht="30" x14ac:dyDescent="0.25">
      <c r="A82" s="5" t="s">
        <v>146</v>
      </c>
      <c r="B82" s="7" t="s">
        <v>147</v>
      </c>
      <c r="C82" s="5">
        <v>100</v>
      </c>
      <c r="D82" s="5">
        <v>1</v>
      </c>
      <c r="E82" s="5">
        <v>6</v>
      </c>
      <c r="F82" s="5">
        <v>3.1</v>
      </c>
      <c r="G82" s="5">
        <v>70</v>
      </c>
    </row>
    <row r="83" spans="1:7" ht="30" x14ac:dyDescent="0.25">
      <c r="A83" s="32" t="s">
        <v>26</v>
      </c>
      <c r="B83" s="7" t="s">
        <v>27</v>
      </c>
      <c r="C83" s="32">
        <v>200</v>
      </c>
      <c r="D83" s="32">
        <v>2.3199999999999998</v>
      </c>
      <c r="E83" s="32">
        <v>3.32</v>
      </c>
      <c r="F83" s="32">
        <v>9.76</v>
      </c>
      <c r="G83" s="32">
        <v>78.2</v>
      </c>
    </row>
    <row r="84" spans="1:7" x14ac:dyDescent="0.25">
      <c r="A84" s="5" t="s">
        <v>28</v>
      </c>
      <c r="B84" s="5" t="s">
        <v>29</v>
      </c>
      <c r="C84" s="5">
        <v>250</v>
      </c>
      <c r="D84" s="5">
        <f>C84*21/200</f>
        <v>26.25</v>
      </c>
      <c r="E84" s="5">
        <f>C84*19/200</f>
        <v>23.75</v>
      </c>
      <c r="F84" s="5">
        <f>C84*15.9/200</f>
        <v>19.875</v>
      </c>
      <c r="G84" s="5">
        <f>C84*319/200</f>
        <v>398.75</v>
      </c>
    </row>
    <row r="85" spans="1:7" x14ac:dyDescent="0.25">
      <c r="A85" s="5" t="s">
        <v>22</v>
      </c>
      <c r="B85" s="5" t="s">
        <v>19</v>
      </c>
      <c r="C85" s="5">
        <v>200</v>
      </c>
      <c r="D85" s="5">
        <f>C85*0.2/200</f>
        <v>0.2</v>
      </c>
      <c r="E85" s="5">
        <f>C85*0.1/200</f>
        <v>0.1</v>
      </c>
      <c r="F85" s="5">
        <f>C85*9.3/200</f>
        <v>9.3000000000000007</v>
      </c>
      <c r="G85" s="5">
        <f>C85*38/200</f>
        <v>38</v>
      </c>
    </row>
    <row r="86" spans="1:7" x14ac:dyDescent="0.25">
      <c r="A86" s="5" t="s">
        <v>53</v>
      </c>
      <c r="B86" s="5" t="s">
        <v>54</v>
      </c>
      <c r="C86" s="5">
        <v>50</v>
      </c>
      <c r="D86" s="5">
        <f>C86*7.6/100</f>
        <v>3.8</v>
      </c>
      <c r="E86" s="5">
        <f>C86*0.8/100</f>
        <v>0.4</v>
      </c>
      <c r="F86" s="5">
        <f>C86*49.2/100</f>
        <v>24.6</v>
      </c>
      <c r="G86" s="5">
        <f>C86*234/100</f>
        <v>117</v>
      </c>
    </row>
    <row r="87" spans="1:7" x14ac:dyDescent="0.25">
      <c r="A87" s="5" t="s">
        <v>15</v>
      </c>
      <c r="B87" s="5" t="s">
        <v>16</v>
      </c>
      <c r="C87" s="5">
        <v>50</v>
      </c>
      <c r="D87" s="5">
        <f>C87*8/100</f>
        <v>4</v>
      </c>
      <c r="E87" s="5">
        <f>C87*1.5/100</f>
        <v>0.75</v>
      </c>
      <c r="F87" s="5">
        <f>C87*40.1/100</f>
        <v>20.05</v>
      </c>
      <c r="G87" s="5">
        <f>C87*206/100</f>
        <v>103</v>
      </c>
    </row>
    <row r="88" spans="1:7" x14ac:dyDescent="0.25">
      <c r="A88" s="5" t="s">
        <v>21</v>
      </c>
      <c r="B88" s="5" t="s">
        <v>20</v>
      </c>
      <c r="C88" s="5">
        <v>100</v>
      </c>
      <c r="D88" s="5">
        <f>C88*0.4/100</f>
        <v>0.4</v>
      </c>
      <c r="E88" s="5">
        <f>C88*0.4/100</f>
        <v>0.4</v>
      </c>
      <c r="F88" s="15">
        <f>C88*9.8/100</f>
        <v>9.8000000000000007</v>
      </c>
      <c r="G88" s="5">
        <f>C88*44/100</f>
        <v>44</v>
      </c>
    </row>
    <row r="89" spans="1:7" x14ac:dyDescent="0.25">
      <c r="A89" s="40" t="s">
        <v>67</v>
      </c>
      <c r="B89" s="41"/>
      <c r="C89" s="5">
        <f>SUM(C82:C88)</f>
        <v>950</v>
      </c>
      <c r="D89" s="5">
        <f>SUM(D82:D88)</f>
        <v>37.97</v>
      </c>
      <c r="E89" s="5">
        <f>SUM(E82:E88)</f>
        <v>34.72</v>
      </c>
      <c r="F89" s="28">
        <f>SUM(F82:F88)</f>
        <v>96.484999999999985</v>
      </c>
      <c r="G89" s="5">
        <f>SUM(G82:G88)</f>
        <v>848.95</v>
      </c>
    </row>
    <row r="92" spans="1:7" x14ac:dyDescent="0.25">
      <c r="A92" s="18"/>
      <c r="B92" s="18"/>
      <c r="C92" s="18"/>
      <c r="D92" s="18"/>
      <c r="E92" s="18"/>
      <c r="F92" s="18"/>
      <c r="G92" s="18"/>
    </row>
    <row r="94" spans="1:7" x14ac:dyDescent="0.25">
      <c r="A94" s="2" t="s">
        <v>43</v>
      </c>
      <c r="B94" s="2"/>
      <c r="C94" s="2"/>
      <c r="D94" s="2"/>
      <c r="E94" s="2"/>
      <c r="F94" s="2"/>
      <c r="G94" s="2"/>
    </row>
    <row r="95" spans="1:7" ht="15.75" thickBot="1" x14ac:dyDescent="0.3">
      <c r="A95" s="6" t="s">
        <v>10</v>
      </c>
      <c r="B95" s="10"/>
      <c r="C95" s="10"/>
      <c r="D95" s="10"/>
      <c r="E95" s="10"/>
      <c r="F95" s="10"/>
      <c r="G95" s="10"/>
    </row>
    <row r="96" spans="1:7" ht="15.75" thickBot="1" x14ac:dyDescent="0.3">
      <c r="A96" s="42" t="s">
        <v>0</v>
      </c>
      <c r="B96" s="42" t="s">
        <v>1</v>
      </c>
      <c r="C96" s="1" t="s">
        <v>2</v>
      </c>
      <c r="D96" s="44" t="s">
        <v>4</v>
      </c>
      <c r="E96" s="45"/>
      <c r="F96" s="45"/>
      <c r="G96" s="46"/>
    </row>
    <row r="97" spans="1:7" ht="26.25" x14ac:dyDescent="0.25">
      <c r="A97" s="43"/>
      <c r="B97" s="43"/>
      <c r="C97" s="4" t="s">
        <v>3</v>
      </c>
      <c r="D97" s="4" t="s">
        <v>5</v>
      </c>
      <c r="E97" s="4" t="s">
        <v>6</v>
      </c>
      <c r="F97" s="4" t="s">
        <v>7</v>
      </c>
      <c r="G97" s="4" t="s">
        <v>8</v>
      </c>
    </row>
    <row r="98" spans="1:7" x14ac:dyDescent="0.25">
      <c r="A98" s="5" t="s">
        <v>148</v>
      </c>
      <c r="B98" s="5" t="s">
        <v>149</v>
      </c>
      <c r="C98" s="5">
        <v>100</v>
      </c>
      <c r="D98" s="5">
        <v>1</v>
      </c>
      <c r="E98" s="5">
        <v>6.1</v>
      </c>
      <c r="F98" s="5">
        <v>3.5</v>
      </c>
      <c r="G98" s="5">
        <v>73</v>
      </c>
    </row>
    <row r="99" spans="1:7" x14ac:dyDescent="0.25">
      <c r="A99" s="32" t="s">
        <v>11</v>
      </c>
      <c r="B99" s="32" t="s">
        <v>12</v>
      </c>
      <c r="C99" s="32">
        <v>200</v>
      </c>
      <c r="D99" s="32">
        <v>1.2</v>
      </c>
      <c r="E99" s="32">
        <v>3.6</v>
      </c>
      <c r="F99" s="32">
        <v>3.04</v>
      </c>
      <c r="G99" s="32">
        <v>49.4</v>
      </c>
    </row>
    <row r="100" spans="1:7" x14ac:dyDescent="0.25">
      <c r="A100" s="5" t="s">
        <v>55</v>
      </c>
      <c r="B100" s="5" t="s">
        <v>56</v>
      </c>
      <c r="C100" s="5">
        <v>100</v>
      </c>
      <c r="D100" s="5">
        <f>C100*17.3/100</f>
        <v>17.3</v>
      </c>
      <c r="E100" s="5">
        <f>C100*21/100</f>
        <v>21</v>
      </c>
      <c r="F100" s="5">
        <f>C100*9.9/100</f>
        <v>9.9</v>
      </c>
      <c r="G100" s="5">
        <f>C100*298/100</f>
        <v>298</v>
      </c>
    </row>
    <row r="101" spans="1:7" x14ac:dyDescent="0.25">
      <c r="A101" s="5" t="s">
        <v>33</v>
      </c>
      <c r="B101" s="5" t="s">
        <v>34</v>
      </c>
      <c r="C101" s="5">
        <v>150</v>
      </c>
      <c r="D101" s="5">
        <f>C101*2.7/100</f>
        <v>4.05</v>
      </c>
      <c r="E101" s="5">
        <f>C101*4/100</f>
        <v>6</v>
      </c>
      <c r="F101" s="5">
        <f>C101*5.8/100</f>
        <v>8.6999999999999993</v>
      </c>
      <c r="G101" s="5">
        <f>C101*70/100</f>
        <v>105</v>
      </c>
    </row>
    <row r="102" spans="1:7" x14ac:dyDescent="0.25">
      <c r="A102" s="5" t="s">
        <v>13</v>
      </c>
      <c r="B102" s="5" t="s">
        <v>14</v>
      </c>
      <c r="C102" s="5">
        <v>200</v>
      </c>
      <c r="D102" s="5">
        <f>C102*0.6/200</f>
        <v>0.6</v>
      </c>
      <c r="E102" s="5">
        <f>C102*0.1/200</f>
        <v>0.1</v>
      </c>
      <c r="F102" s="5">
        <f>C102*20.1/200</f>
        <v>20.100000000000001</v>
      </c>
      <c r="G102" s="5">
        <f>C102*84/200</f>
        <v>84</v>
      </c>
    </row>
    <row r="103" spans="1:7" x14ac:dyDescent="0.25">
      <c r="A103" s="5" t="s">
        <v>53</v>
      </c>
      <c r="B103" s="5" t="s">
        <v>54</v>
      </c>
      <c r="C103" s="5">
        <v>50</v>
      </c>
      <c r="D103" s="5">
        <f>C103*7.6/100</f>
        <v>3.8</v>
      </c>
      <c r="E103" s="5">
        <f>C103*0.8/100</f>
        <v>0.4</v>
      </c>
      <c r="F103" s="5">
        <f>C103*49.2/100</f>
        <v>24.6</v>
      </c>
      <c r="G103" s="5">
        <f>C103*234/100</f>
        <v>117</v>
      </c>
    </row>
    <row r="104" spans="1:7" x14ac:dyDescent="0.25">
      <c r="A104" s="11" t="s">
        <v>15</v>
      </c>
      <c r="B104" s="11" t="s">
        <v>16</v>
      </c>
      <c r="C104" s="11">
        <v>50</v>
      </c>
      <c r="D104" s="11">
        <f>C104*8/100</f>
        <v>4</v>
      </c>
      <c r="E104" s="11">
        <f>C104*1.5/100</f>
        <v>0.75</v>
      </c>
      <c r="F104" s="11">
        <f>C104*40.1/100</f>
        <v>20.05</v>
      </c>
      <c r="G104" s="11">
        <f>C104*206/100</f>
        <v>103</v>
      </c>
    </row>
    <row r="105" spans="1:7" x14ac:dyDescent="0.25">
      <c r="A105" s="40" t="s">
        <v>67</v>
      </c>
      <c r="B105" s="41"/>
      <c r="C105" s="12">
        <f>SUM(C98:C104)</f>
        <v>850</v>
      </c>
      <c r="D105" s="12">
        <f>SUM(D98:D104)</f>
        <v>31.950000000000003</v>
      </c>
      <c r="E105" s="12">
        <f>SUM(E98:E104)</f>
        <v>37.950000000000003</v>
      </c>
      <c r="F105" s="12">
        <f>SUM(F98:F104)</f>
        <v>89.89</v>
      </c>
      <c r="G105" s="12">
        <f>SUM(G98:G104)</f>
        <v>829.4</v>
      </c>
    </row>
    <row r="107" spans="1:7" x14ac:dyDescent="0.25">
      <c r="A107" s="2" t="s">
        <v>44</v>
      </c>
      <c r="B107" s="2"/>
      <c r="C107" s="2"/>
      <c r="D107" s="2"/>
      <c r="E107" s="2"/>
      <c r="F107" s="2"/>
      <c r="G107" s="2"/>
    </row>
    <row r="108" spans="1:7" ht="15.75" thickBot="1" x14ac:dyDescent="0.3">
      <c r="A108" s="6" t="s">
        <v>10</v>
      </c>
      <c r="B108" s="10"/>
      <c r="C108" s="10"/>
      <c r="D108" s="10"/>
      <c r="E108" s="10"/>
      <c r="F108" s="10"/>
      <c r="G108" s="10"/>
    </row>
    <row r="109" spans="1:7" ht="15.75" thickBot="1" x14ac:dyDescent="0.3">
      <c r="A109" s="42" t="s">
        <v>0</v>
      </c>
      <c r="B109" s="42" t="s">
        <v>1</v>
      </c>
      <c r="C109" s="1" t="s">
        <v>2</v>
      </c>
      <c r="D109" s="44" t="s">
        <v>4</v>
      </c>
      <c r="E109" s="45"/>
      <c r="F109" s="45"/>
      <c r="G109" s="46"/>
    </row>
    <row r="110" spans="1:7" ht="26.25" x14ac:dyDescent="0.25">
      <c r="A110" s="43"/>
      <c r="B110" s="43"/>
      <c r="C110" s="4" t="s">
        <v>3</v>
      </c>
      <c r="D110" s="4" t="s">
        <v>5</v>
      </c>
      <c r="E110" s="4" t="s">
        <v>6</v>
      </c>
      <c r="F110" s="4" t="s">
        <v>7</v>
      </c>
      <c r="G110" s="4" t="s">
        <v>8</v>
      </c>
    </row>
    <row r="111" spans="1:7" x14ac:dyDescent="0.25">
      <c r="A111" s="5" t="s">
        <v>105</v>
      </c>
      <c r="B111" s="5" t="s">
        <v>106</v>
      </c>
      <c r="C111" s="5">
        <v>100</v>
      </c>
      <c r="D111" s="5">
        <f>C111*1.4/100</f>
        <v>1.4</v>
      </c>
      <c r="E111" s="5">
        <f>C111*6.1/100</f>
        <v>6.1</v>
      </c>
      <c r="F111" s="5">
        <f>C111*7.6/100</f>
        <v>7.6</v>
      </c>
      <c r="G111" s="5">
        <f>C111*91/100</f>
        <v>91</v>
      </c>
    </row>
    <row r="112" spans="1:7" x14ac:dyDescent="0.25">
      <c r="A112" s="5" t="s">
        <v>23</v>
      </c>
      <c r="B112" s="5" t="s">
        <v>24</v>
      </c>
      <c r="C112" s="5">
        <v>250</v>
      </c>
      <c r="D112" s="5">
        <f>C112*7.4/1000</f>
        <v>1.85</v>
      </c>
      <c r="E112" s="5">
        <f>C112*17.7/1000</f>
        <v>4.4249999999999998</v>
      </c>
      <c r="F112" s="5">
        <f>C112*27.8/1000</f>
        <v>6.95</v>
      </c>
      <c r="G112" s="5">
        <f>C112*300/1000</f>
        <v>75</v>
      </c>
    </row>
    <row r="113" spans="1:7" x14ac:dyDescent="0.25">
      <c r="A113" s="5" t="s">
        <v>135</v>
      </c>
      <c r="B113" s="5" t="s">
        <v>134</v>
      </c>
      <c r="C113" s="5">
        <v>100</v>
      </c>
      <c r="D113" s="5">
        <v>10.5</v>
      </c>
      <c r="E113" s="5">
        <v>17.100000000000001</v>
      </c>
      <c r="F113" s="5">
        <v>0.2</v>
      </c>
      <c r="G113" s="5">
        <v>197</v>
      </c>
    </row>
    <row r="114" spans="1:7" x14ac:dyDescent="0.25">
      <c r="A114" s="5" t="s">
        <v>39</v>
      </c>
      <c r="B114" s="5" t="s">
        <v>37</v>
      </c>
      <c r="C114" s="5">
        <v>150</v>
      </c>
      <c r="D114" s="5">
        <f>C114*3.7/100</f>
        <v>5.55</v>
      </c>
      <c r="E114" s="5">
        <f>C114*3.3/100</f>
        <v>4.95</v>
      </c>
      <c r="F114" s="5">
        <f>C114*19.7/100</f>
        <v>29.55</v>
      </c>
      <c r="G114" s="5">
        <f>C114*123/100</f>
        <v>184.5</v>
      </c>
    </row>
    <row r="115" spans="1:7" x14ac:dyDescent="0.25">
      <c r="A115" s="5" t="s">
        <v>22</v>
      </c>
      <c r="B115" s="5" t="s">
        <v>19</v>
      </c>
      <c r="C115" s="5">
        <v>200</v>
      </c>
      <c r="D115" s="5">
        <f>C115*0.2/200</f>
        <v>0.2</v>
      </c>
      <c r="E115" s="5">
        <f>C115*0.1/200</f>
        <v>0.1</v>
      </c>
      <c r="F115" s="5">
        <f>C115*9.3/200</f>
        <v>9.3000000000000007</v>
      </c>
      <c r="G115" s="5">
        <f>C115*38/200</f>
        <v>38</v>
      </c>
    </row>
    <row r="116" spans="1:7" x14ac:dyDescent="0.25">
      <c r="A116" s="5" t="s">
        <v>53</v>
      </c>
      <c r="B116" s="5" t="s">
        <v>54</v>
      </c>
      <c r="C116" s="5">
        <v>70</v>
      </c>
      <c r="D116" s="5">
        <f>C116*7.6/100</f>
        <v>5.32</v>
      </c>
      <c r="E116" s="5">
        <f>C116*0.8/100</f>
        <v>0.56000000000000005</v>
      </c>
      <c r="F116" s="5">
        <f>C116*49.2/100</f>
        <v>34.44</v>
      </c>
      <c r="G116" s="5">
        <f>C116*234/100</f>
        <v>163.80000000000001</v>
      </c>
    </row>
    <row r="117" spans="1:7" x14ac:dyDescent="0.25">
      <c r="A117" s="11" t="s">
        <v>15</v>
      </c>
      <c r="B117" s="11" t="s">
        <v>16</v>
      </c>
      <c r="C117" s="11">
        <v>50</v>
      </c>
      <c r="D117" s="11">
        <f>C117*8/100</f>
        <v>4</v>
      </c>
      <c r="E117" s="11">
        <f>C117*1.5/100</f>
        <v>0.75</v>
      </c>
      <c r="F117" s="11">
        <f>C117*40.1/100</f>
        <v>20.05</v>
      </c>
      <c r="G117" s="11">
        <f>C117*206/100</f>
        <v>103</v>
      </c>
    </row>
    <row r="118" spans="1:7" x14ac:dyDescent="0.25">
      <c r="A118" s="40" t="s">
        <v>67</v>
      </c>
      <c r="B118" s="41"/>
      <c r="C118" s="5">
        <f>SUM(C111:C117)</f>
        <v>920</v>
      </c>
      <c r="D118" s="5">
        <f>SUM(D111:D117)</f>
        <v>28.82</v>
      </c>
      <c r="E118" s="28">
        <f>SUM(E111:E117)</f>
        <v>33.985000000000007</v>
      </c>
      <c r="F118" s="28">
        <f>SUM(F111:F117)</f>
        <v>108.08999999999999</v>
      </c>
      <c r="G118" s="28">
        <f>SUM(G111:G117)</f>
        <v>852.3</v>
      </c>
    </row>
    <row r="121" spans="1:7" x14ac:dyDescent="0.25">
      <c r="A121" s="18"/>
      <c r="B121" s="18"/>
      <c r="C121" s="18"/>
      <c r="D121" s="18"/>
      <c r="E121" s="18"/>
      <c r="F121" s="18"/>
      <c r="G121" s="18"/>
    </row>
    <row r="125" spans="1:7" x14ac:dyDescent="0.25">
      <c r="A125" s="2" t="s">
        <v>47</v>
      </c>
      <c r="B125" s="2"/>
      <c r="C125" s="2"/>
      <c r="D125" s="2"/>
      <c r="E125" s="2"/>
      <c r="F125" s="2"/>
      <c r="G125" s="2"/>
    </row>
    <row r="126" spans="1:7" ht="15.75" thickBot="1" x14ac:dyDescent="0.3">
      <c r="A126" s="6" t="s">
        <v>10</v>
      </c>
      <c r="B126" s="10"/>
      <c r="C126" s="10"/>
      <c r="D126" s="10"/>
      <c r="E126" s="10"/>
      <c r="F126" s="10"/>
      <c r="G126" s="10"/>
    </row>
    <row r="127" spans="1:7" ht="15.75" thickBot="1" x14ac:dyDescent="0.3">
      <c r="A127" s="42" t="s">
        <v>0</v>
      </c>
      <c r="B127" s="42" t="s">
        <v>1</v>
      </c>
      <c r="C127" s="1" t="s">
        <v>2</v>
      </c>
      <c r="D127" s="44" t="s">
        <v>4</v>
      </c>
      <c r="E127" s="45"/>
      <c r="F127" s="45"/>
      <c r="G127" s="46"/>
    </row>
    <row r="128" spans="1:7" ht="26.25" x14ac:dyDescent="0.25">
      <c r="A128" s="43"/>
      <c r="B128" s="43"/>
      <c r="C128" s="4" t="s">
        <v>3</v>
      </c>
      <c r="D128" s="4" t="s">
        <v>5</v>
      </c>
      <c r="E128" s="4" t="s">
        <v>6</v>
      </c>
      <c r="F128" s="4" t="s">
        <v>7</v>
      </c>
      <c r="G128" s="4" t="s">
        <v>8</v>
      </c>
    </row>
    <row r="129" spans="1:7" x14ac:dyDescent="0.25">
      <c r="A129" s="5" t="s">
        <v>150</v>
      </c>
      <c r="B129" s="5" t="s">
        <v>151</v>
      </c>
      <c r="C129" s="5">
        <v>100</v>
      </c>
      <c r="D129" s="5">
        <v>1.6</v>
      </c>
      <c r="E129" s="5">
        <v>6.2</v>
      </c>
      <c r="F129" s="5">
        <v>6.6</v>
      </c>
      <c r="G129" s="5">
        <v>88</v>
      </c>
    </row>
    <row r="130" spans="1:7" x14ac:dyDescent="0.25">
      <c r="A130" s="32" t="s">
        <v>52</v>
      </c>
      <c r="B130" s="32" t="s">
        <v>51</v>
      </c>
      <c r="C130" s="32">
        <v>200</v>
      </c>
      <c r="D130" s="32">
        <v>1.86</v>
      </c>
      <c r="E130" s="32">
        <v>3.78</v>
      </c>
      <c r="F130" s="32">
        <v>8.26</v>
      </c>
      <c r="G130" s="32">
        <v>74.599999999999994</v>
      </c>
    </row>
    <row r="131" spans="1:7" x14ac:dyDescent="0.25">
      <c r="A131" s="5" t="s">
        <v>129</v>
      </c>
      <c r="B131" s="5" t="s">
        <v>136</v>
      </c>
      <c r="C131" s="5">
        <v>100</v>
      </c>
      <c r="D131" s="5">
        <f>C131*20/100</f>
        <v>20</v>
      </c>
      <c r="E131" s="5">
        <f>C131*19.5/100</f>
        <v>19.5</v>
      </c>
      <c r="F131" s="5">
        <f>C131*3.3/100</f>
        <v>3.3</v>
      </c>
      <c r="G131" s="5">
        <f>C131*258/100</f>
        <v>258</v>
      </c>
    </row>
    <row r="132" spans="1:7" x14ac:dyDescent="0.25">
      <c r="A132" s="5" t="s">
        <v>61</v>
      </c>
      <c r="B132" s="5" t="s">
        <v>62</v>
      </c>
      <c r="C132" s="5">
        <v>150</v>
      </c>
      <c r="D132" s="5">
        <f>C132*60/1100</f>
        <v>8.1818181818181817</v>
      </c>
      <c r="E132" s="5">
        <f>C132*33.8/1100</f>
        <v>4.6090909090909093</v>
      </c>
      <c r="F132" s="5">
        <f>C132*268.6/1100</f>
        <v>36.627272727272725</v>
      </c>
      <c r="G132" s="5">
        <f>C132*1620/1100</f>
        <v>220.90909090909091</v>
      </c>
    </row>
    <row r="133" spans="1:7" x14ac:dyDescent="0.25">
      <c r="A133" s="5" t="s">
        <v>13</v>
      </c>
      <c r="B133" s="5" t="s">
        <v>14</v>
      </c>
      <c r="C133" s="5">
        <v>200</v>
      </c>
      <c r="D133" s="5">
        <v>0.6</v>
      </c>
      <c r="E133" s="5">
        <v>0.1</v>
      </c>
      <c r="F133" s="5">
        <v>20.100000000000001</v>
      </c>
      <c r="G133" s="5">
        <v>84</v>
      </c>
    </row>
    <row r="134" spans="1:7" x14ac:dyDescent="0.25">
      <c r="A134" s="5" t="s">
        <v>53</v>
      </c>
      <c r="B134" s="5" t="s">
        <v>54</v>
      </c>
      <c r="C134" s="5">
        <v>50</v>
      </c>
      <c r="D134" s="5">
        <f>C134*7.6/100</f>
        <v>3.8</v>
      </c>
      <c r="E134" s="5">
        <f>C134*0.8/100</f>
        <v>0.4</v>
      </c>
      <c r="F134" s="5">
        <f>C134*49.2/100</f>
        <v>24.6</v>
      </c>
      <c r="G134" s="5">
        <f>C134*234/100</f>
        <v>117</v>
      </c>
    </row>
    <row r="135" spans="1:7" x14ac:dyDescent="0.25">
      <c r="A135" s="11" t="s">
        <v>15</v>
      </c>
      <c r="B135" s="11" t="s">
        <v>16</v>
      </c>
      <c r="C135" s="11">
        <v>50</v>
      </c>
      <c r="D135" s="11">
        <f>C135*8/100</f>
        <v>4</v>
      </c>
      <c r="E135" s="11">
        <f>C135*1.5/100</f>
        <v>0.75</v>
      </c>
      <c r="F135" s="11">
        <f>C135*40.1/100</f>
        <v>20.05</v>
      </c>
      <c r="G135" s="11">
        <f>C135*206/100</f>
        <v>103</v>
      </c>
    </row>
    <row r="136" spans="1:7" x14ac:dyDescent="0.25">
      <c r="A136" s="40" t="s">
        <v>67</v>
      </c>
      <c r="B136" s="41"/>
      <c r="C136" s="12">
        <f>SUM(C129:C135)</f>
        <v>850</v>
      </c>
      <c r="D136" s="12">
        <f>SUM(D129:D135)</f>
        <v>40.041818181818179</v>
      </c>
      <c r="E136" s="12">
        <f>SUM(E129:E135)</f>
        <v>35.339090909090913</v>
      </c>
      <c r="F136" s="12">
        <f>SUM(F129:F135)</f>
        <v>119.53727272727271</v>
      </c>
      <c r="G136" s="12">
        <f>SUM(G129:G135)</f>
        <v>945.5090909090909</v>
      </c>
    </row>
    <row r="138" spans="1:7" x14ac:dyDescent="0.25">
      <c r="A138" s="2" t="s">
        <v>48</v>
      </c>
      <c r="B138" s="2"/>
      <c r="C138" s="2"/>
      <c r="D138" s="2"/>
      <c r="E138" s="2"/>
      <c r="F138" s="2"/>
      <c r="G138" s="2"/>
    </row>
    <row r="139" spans="1:7" ht="15.75" thickBot="1" x14ac:dyDescent="0.3">
      <c r="A139" s="6" t="s">
        <v>10</v>
      </c>
      <c r="B139" s="10"/>
      <c r="C139" s="10"/>
      <c r="D139" s="10"/>
      <c r="E139" s="10"/>
      <c r="F139" s="10"/>
      <c r="G139" s="10"/>
    </row>
    <row r="140" spans="1:7" ht="15.75" thickBot="1" x14ac:dyDescent="0.3">
      <c r="A140" s="42" t="s">
        <v>0</v>
      </c>
      <c r="B140" s="42" t="s">
        <v>1</v>
      </c>
      <c r="C140" s="1" t="s">
        <v>2</v>
      </c>
      <c r="D140" s="44" t="s">
        <v>4</v>
      </c>
      <c r="E140" s="45"/>
      <c r="F140" s="45"/>
      <c r="G140" s="46"/>
    </row>
    <row r="141" spans="1:7" ht="26.25" x14ac:dyDescent="0.25">
      <c r="A141" s="43"/>
      <c r="B141" s="43"/>
      <c r="C141" s="4" t="s">
        <v>3</v>
      </c>
      <c r="D141" s="4" t="s">
        <v>5</v>
      </c>
      <c r="E141" s="4" t="s">
        <v>6</v>
      </c>
      <c r="F141" s="4" t="s">
        <v>7</v>
      </c>
      <c r="G141" s="4" t="s">
        <v>8</v>
      </c>
    </row>
    <row r="142" spans="1:7" x14ac:dyDescent="0.25">
      <c r="A142" s="5" t="s">
        <v>153</v>
      </c>
      <c r="B142" s="5" t="s">
        <v>152</v>
      </c>
      <c r="C142" s="5">
        <v>100</v>
      </c>
      <c r="D142" s="5">
        <v>2.1</v>
      </c>
      <c r="E142" s="5">
        <v>6.3</v>
      </c>
      <c r="F142" s="5">
        <v>8.1999999999999993</v>
      </c>
      <c r="G142" s="5">
        <v>98</v>
      </c>
    </row>
    <row r="143" spans="1:7" x14ac:dyDescent="0.25">
      <c r="A143" s="32" t="s">
        <v>41</v>
      </c>
      <c r="B143" s="32" t="s">
        <v>42</v>
      </c>
      <c r="C143" s="32">
        <v>200</v>
      </c>
      <c r="D143" s="32">
        <v>2.2200000000000002</v>
      </c>
      <c r="E143" s="32">
        <v>2.82</v>
      </c>
      <c r="F143" s="32">
        <v>7.84</v>
      </c>
      <c r="G143" s="32">
        <v>65.599999999999994</v>
      </c>
    </row>
    <row r="144" spans="1:7" ht="30" x14ac:dyDescent="0.25">
      <c r="A144" s="5" t="s">
        <v>38</v>
      </c>
      <c r="B144" s="7" t="s">
        <v>36</v>
      </c>
      <c r="C144" s="5">
        <v>100</v>
      </c>
      <c r="D144" s="5">
        <f>C144*14/70</f>
        <v>20</v>
      </c>
      <c r="E144" s="5">
        <f>C144*12.6/70</f>
        <v>18</v>
      </c>
      <c r="F144" s="5">
        <f>C144*7.5/70</f>
        <v>10.714285714285714</v>
      </c>
      <c r="G144" s="5">
        <f>C144*199/70</f>
        <v>284.28571428571428</v>
      </c>
    </row>
    <row r="145" spans="1:7" x14ac:dyDescent="0.25">
      <c r="A145" s="5" t="s">
        <v>33</v>
      </c>
      <c r="B145" s="5" t="s">
        <v>34</v>
      </c>
      <c r="C145" s="5">
        <v>150</v>
      </c>
      <c r="D145" s="5">
        <f>C145*2.7/100</f>
        <v>4.05</v>
      </c>
      <c r="E145" s="5">
        <f>C145*4/100</f>
        <v>6</v>
      </c>
      <c r="F145" s="5">
        <f>C145*5.8/100</f>
        <v>8.6999999999999993</v>
      </c>
      <c r="G145" s="5">
        <f>C145*70/100</f>
        <v>105</v>
      </c>
    </row>
    <row r="146" spans="1:7" x14ac:dyDescent="0.25">
      <c r="A146" s="5" t="s">
        <v>22</v>
      </c>
      <c r="B146" s="5" t="s">
        <v>19</v>
      </c>
      <c r="C146" s="5">
        <v>200</v>
      </c>
      <c r="D146" s="5">
        <f>C146*0.2/200</f>
        <v>0.2</v>
      </c>
      <c r="E146" s="5">
        <f>C146*0.1/200</f>
        <v>0.1</v>
      </c>
      <c r="F146" s="5">
        <f>C146*9.3/200</f>
        <v>9.3000000000000007</v>
      </c>
      <c r="G146" s="5">
        <f>C146*38/200</f>
        <v>38</v>
      </c>
    </row>
    <row r="147" spans="1:7" x14ac:dyDescent="0.25">
      <c r="A147" s="5" t="s">
        <v>53</v>
      </c>
      <c r="B147" s="5" t="s">
        <v>54</v>
      </c>
      <c r="C147" s="5">
        <v>70</v>
      </c>
      <c r="D147" s="5">
        <f>C147*7.6/100</f>
        <v>5.32</v>
      </c>
      <c r="E147" s="5">
        <f>C147*0.8/100</f>
        <v>0.56000000000000005</v>
      </c>
      <c r="F147" s="5">
        <f>C147*49.2/100</f>
        <v>34.44</v>
      </c>
      <c r="G147" s="5">
        <f>C147*234/100</f>
        <v>163.80000000000001</v>
      </c>
    </row>
    <row r="148" spans="1:7" x14ac:dyDescent="0.25">
      <c r="A148" s="11" t="s">
        <v>15</v>
      </c>
      <c r="B148" s="11" t="s">
        <v>16</v>
      </c>
      <c r="C148" s="11">
        <v>50</v>
      </c>
      <c r="D148" s="11">
        <f>C148*8/100</f>
        <v>4</v>
      </c>
      <c r="E148" s="11">
        <f>C148*1.5/100</f>
        <v>0.75</v>
      </c>
      <c r="F148" s="11">
        <f>C148*40.1/100</f>
        <v>20.05</v>
      </c>
      <c r="G148" s="11">
        <f>C148*206/100</f>
        <v>103</v>
      </c>
    </row>
    <row r="149" spans="1:7" x14ac:dyDescent="0.25">
      <c r="A149" s="40" t="s">
        <v>67</v>
      </c>
      <c r="B149" s="41"/>
      <c r="C149" s="5">
        <f>SUM(C142:C148)</f>
        <v>870</v>
      </c>
      <c r="D149" s="5">
        <f>SUM(D142:D148)</f>
        <v>37.89</v>
      </c>
      <c r="E149" s="5">
        <f>SUM(E142:E148)</f>
        <v>34.53</v>
      </c>
      <c r="F149" s="5">
        <f>SUM(F142:F148)</f>
        <v>99.244285714285709</v>
      </c>
      <c r="G149" s="5">
        <f>SUM(G142:G148)</f>
        <v>857.68571428571431</v>
      </c>
    </row>
    <row r="150" spans="1:7" ht="8.25" customHeight="1" x14ac:dyDescent="0.25"/>
    <row r="152" spans="1:7" x14ac:dyDescent="0.25">
      <c r="A152" s="38" t="s">
        <v>68</v>
      </c>
      <c r="B152" s="39"/>
      <c r="C152" s="14">
        <f>(C13+C28+C46+C60+C76+C89+C105+C118+C136+C149)/10</f>
        <v>875</v>
      </c>
      <c r="D152" s="14">
        <f>(D13+D28+D46+D60+D76+D89+D105+D118+D136+D149)/10</f>
        <v>34.196077922077919</v>
      </c>
      <c r="E152" s="14">
        <f>(E13+E28+E46+E60+E76+E89+E105+E118+E136+E149)/10</f>
        <v>34.190561038961036</v>
      </c>
      <c r="F152" s="14">
        <f>(F13+F28+F46+F60+F76+F89+F105+F118+F136+F149)/10</f>
        <v>106.97988311688312</v>
      </c>
      <c r="G152" s="14">
        <f>(G13+G28+G46+G60+G76+G89+G105+G118+G136+G149)/10</f>
        <v>870.82581818181825</v>
      </c>
    </row>
  </sheetData>
  <mergeCells count="43">
    <mergeCell ref="A46:B46"/>
    <mergeCell ref="A1:G1"/>
    <mergeCell ref="A4:A5"/>
    <mergeCell ref="B4:B5"/>
    <mergeCell ref="D4:G4"/>
    <mergeCell ref="A13:B13"/>
    <mergeCell ref="A17:A18"/>
    <mergeCell ref="B17:B18"/>
    <mergeCell ref="D17:G17"/>
    <mergeCell ref="A27:B27"/>
    <mergeCell ref="A28:B28"/>
    <mergeCell ref="A36:A37"/>
    <mergeCell ref="B36:B37"/>
    <mergeCell ref="D36:G36"/>
    <mergeCell ref="A96:A97"/>
    <mergeCell ref="B96:B97"/>
    <mergeCell ref="D96:G96"/>
    <mergeCell ref="A50:A51"/>
    <mergeCell ref="B50:B51"/>
    <mergeCell ref="D50:G50"/>
    <mergeCell ref="A60:B60"/>
    <mergeCell ref="A67:A68"/>
    <mergeCell ref="B67:B68"/>
    <mergeCell ref="D67:G67"/>
    <mergeCell ref="A76:B76"/>
    <mergeCell ref="A80:A81"/>
    <mergeCell ref="B80:B81"/>
    <mergeCell ref="D80:G80"/>
    <mergeCell ref="A89:B89"/>
    <mergeCell ref="A152:B152"/>
    <mergeCell ref="A105:B105"/>
    <mergeCell ref="A109:A110"/>
    <mergeCell ref="B109:B110"/>
    <mergeCell ref="D109:G109"/>
    <mergeCell ref="A118:B118"/>
    <mergeCell ref="A127:A128"/>
    <mergeCell ref="B127:B128"/>
    <mergeCell ref="D127:G127"/>
    <mergeCell ref="A136:B136"/>
    <mergeCell ref="A140:A141"/>
    <mergeCell ref="B140:B141"/>
    <mergeCell ref="D140:G140"/>
    <mergeCell ref="A149:B149"/>
  </mergeCells>
  <pageMargins left="0.7" right="0.7" top="0.75" bottom="0.75" header="0.3" footer="0.3"/>
  <pageSetup paperSize="9" orientation="landscape" horizontalDpi="180" verticalDpi="180" r:id="rId1"/>
  <headerFooter>
    <oddHeader xml:space="preserve">&amp;L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N307"/>
  <sheetViews>
    <sheetView view="pageLayout" topLeftCell="A300" zoomScaleNormal="100" workbookViewId="0">
      <selection activeCell="A220" sqref="A220:XFD220"/>
    </sheetView>
  </sheetViews>
  <sheetFormatPr defaultRowHeight="15" x14ac:dyDescent="0.25"/>
  <cols>
    <col min="1" max="1" width="13.28515625" customWidth="1"/>
    <col min="2" max="2" width="36.7109375" customWidth="1"/>
    <col min="4" max="4" width="13.5703125" customWidth="1"/>
    <col min="5" max="5" width="14.85546875" customWidth="1"/>
    <col min="6" max="6" width="20.42578125" customWidth="1"/>
    <col min="7" max="7" width="18.28515625" customWidth="1"/>
    <col min="11" max="11" width="16" customWidth="1"/>
  </cols>
  <sheetData>
    <row r="1" spans="1:7" x14ac:dyDescent="0.25">
      <c r="A1" s="47" t="s">
        <v>124</v>
      </c>
      <c r="B1" s="47"/>
      <c r="C1" s="47"/>
      <c r="D1" s="47"/>
      <c r="E1" s="47"/>
      <c r="F1" s="47"/>
      <c r="G1" s="47"/>
    </row>
    <row r="2" spans="1:7" x14ac:dyDescent="0.25">
      <c r="A2" s="2" t="s">
        <v>9</v>
      </c>
      <c r="B2" s="10"/>
      <c r="C2" s="10"/>
      <c r="D2" s="10"/>
      <c r="E2" s="10"/>
      <c r="F2" s="10"/>
      <c r="G2" s="10"/>
    </row>
    <row r="3" spans="1:7" ht="15.75" thickBot="1" x14ac:dyDescent="0.3">
      <c r="A3" s="17" t="s">
        <v>69</v>
      </c>
      <c r="B3" s="2"/>
      <c r="C3" s="2"/>
      <c r="D3" s="2"/>
      <c r="E3" s="2"/>
      <c r="F3" s="2"/>
      <c r="G3" s="2"/>
    </row>
    <row r="4" spans="1:7" ht="15.75" thickBot="1" x14ac:dyDescent="0.3">
      <c r="A4" s="42" t="s">
        <v>0</v>
      </c>
      <c r="B4" s="42" t="s">
        <v>1</v>
      </c>
      <c r="C4" s="1" t="s">
        <v>2</v>
      </c>
      <c r="D4" s="44" t="s">
        <v>4</v>
      </c>
      <c r="E4" s="45"/>
      <c r="F4" s="45"/>
      <c r="G4" s="46"/>
    </row>
    <row r="5" spans="1:7" ht="15.75" customHeight="1" x14ac:dyDescent="0.25">
      <c r="A5" s="43"/>
      <c r="B5" s="43"/>
      <c r="C5" s="4" t="s">
        <v>3</v>
      </c>
      <c r="D5" s="4" t="s">
        <v>5</v>
      </c>
      <c r="E5" s="4" t="s">
        <v>6</v>
      </c>
      <c r="F5" s="4" t="s">
        <v>7</v>
      </c>
      <c r="G5" s="4" t="s">
        <v>8</v>
      </c>
    </row>
    <row r="6" spans="1:7" x14ac:dyDescent="0.25">
      <c r="A6" s="5" t="s">
        <v>77</v>
      </c>
      <c r="B6" s="7" t="s">
        <v>78</v>
      </c>
      <c r="C6" s="5">
        <v>250</v>
      </c>
      <c r="D6" s="5">
        <f>C6*37.3/1025</f>
        <v>9.0975609756097562</v>
      </c>
      <c r="E6" s="5">
        <f>C6*37.2/1025</f>
        <v>9.0731707317073162</v>
      </c>
      <c r="F6" s="5">
        <f>C6*178.6/1025</f>
        <v>43.560975609756099</v>
      </c>
      <c r="G6" s="5">
        <f>C6*1198/1025</f>
        <v>292.19512195121951</v>
      </c>
    </row>
    <row r="7" spans="1:7" x14ac:dyDescent="0.25">
      <c r="A7" s="5" t="s">
        <v>73</v>
      </c>
      <c r="B7" s="5" t="s">
        <v>74</v>
      </c>
      <c r="C7" s="5">
        <v>100</v>
      </c>
      <c r="D7" s="5">
        <f>C7*1.6/35</f>
        <v>4.5714285714285712</v>
      </c>
      <c r="E7" s="5">
        <f>C7*11/35</f>
        <v>31.428571428571427</v>
      </c>
      <c r="F7" s="5">
        <f>C7*10/35</f>
        <v>28.571428571428573</v>
      </c>
      <c r="G7" s="5">
        <f>C7*146/35</f>
        <v>417.14285714285717</v>
      </c>
    </row>
    <row r="8" spans="1:7" x14ac:dyDescent="0.25">
      <c r="A8" s="5" t="s">
        <v>75</v>
      </c>
      <c r="B8" s="5" t="s">
        <v>76</v>
      </c>
      <c r="C8" s="5">
        <v>200</v>
      </c>
      <c r="D8" s="5">
        <f>C8*3.3/200</f>
        <v>3.3</v>
      </c>
      <c r="E8" s="5">
        <f>C8*2.9/200</f>
        <v>2.9</v>
      </c>
      <c r="F8" s="5">
        <f>C8*13.8/200</f>
        <v>13.8</v>
      </c>
      <c r="G8" s="5">
        <f>C8*94/200</f>
        <v>94</v>
      </c>
    </row>
    <row r="9" spans="1:7" x14ac:dyDescent="0.25">
      <c r="A9" s="40" t="s">
        <v>70</v>
      </c>
      <c r="B9" s="41"/>
      <c r="C9" s="5">
        <f>SUM(C6:C8)</f>
        <v>550</v>
      </c>
      <c r="D9" s="5">
        <f>SUM(D6:D8)</f>
        <v>16.968989547038326</v>
      </c>
      <c r="E9" s="5">
        <f>SUM(E6:E8)</f>
        <v>43.401742160278744</v>
      </c>
      <c r="F9" s="5">
        <f>SUM(F6:F8)</f>
        <v>85.932404181184666</v>
      </c>
      <c r="G9" s="5">
        <f>SUM(G6:G8)</f>
        <v>803.33797909407667</v>
      </c>
    </row>
    <row r="10" spans="1:7" x14ac:dyDescent="0.25">
      <c r="A10" s="8"/>
      <c r="B10" s="8"/>
      <c r="C10" s="8"/>
      <c r="D10" s="8"/>
      <c r="E10" s="8"/>
      <c r="F10" s="8"/>
      <c r="G10" s="8"/>
    </row>
    <row r="11" spans="1:7" ht="15.75" thickBot="1" x14ac:dyDescent="0.3">
      <c r="A11" s="6" t="s">
        <v>10</v>
      </c>
      <c r="B11" s="3"/>
      <c r="C11" s="3"/>
      <c r="D11" s="3"/>
      <c r="E11" s="3"/>
      <c r="F11" s="3"/>
      <c r="G11" s="3"/>
    </row>
    <row r="12" spans="1:7" ht="15.75" customHeight="1" thickBot="1" x14ac:dyDescent="0.3">
      <c r="A12" s="42" t="s">
        <v>0</v>
      </c>
      <c r="B12" s="42" t="s">
        <v>1</v>
      </c>
      <c r="C12" s="1" t="s">
        <v>2</v>
      </c>
      <c r="D12" s="44" t="s">
        <v>4</v>
      </c>
      <c r="E12" s="45"/>
      <c r="F12" s="45"/>
      <c r="G12" s="46"/>
    </row>
    <row r="13" spans="1:7" ht="26.25" x14ac:dyDescent="0.25">
      <c r="A13" s="50"/>
      <c r="B13" s="50"/>
      <c r="C13" s="4" t="s">
        <v>3</v>
      </c>
      <c r="D13" s="4" t="s">
        <v>5</v>
      </c>
      <c r="E13" s="4" t="s">
        <v>6</v>
      </c>
      <c r="F13" s="4" t="s">
        <v>7</v>
      </c>
      <c r="G13" s="4" t="s">
        <v>8</v>
      </c>
    </row>
    <row r="14" spans="1:7" x14ac:dyDescent="0.25">
      <c r="A14" s="5" t="s">
        <v>140</v>
      </c>
      <c r="B14" s="33" t="s">
        <v>141</v>
      </c>
      <c r="C14" s="5">
        <v>100</v>
      </c>
      <c r="D14" s="5">
        <v>6.4</v>
      </c>
      <c r="E14" s="5">
        <v>8.5</v>
      </c>
      <c r="F14" s="5">
        <v>7.4</v>
      </c>
      <c r="G14" s="5">
        <v>132</v>
      </c>
    </row>
    <row r="15" spans="1:7" x14ac:dyDescent="0.25">
      <c r="A15" s="33" t="s">
        <v>23</v>
      </c>
      <c r="B15" s="33" t="s">
        <v>24</v>
      </c>
      <c r="C15" s="33">
        <v>200</v>
      </c>
      <c r="D15" s="33">
        <v>1.48</v>
      </c>
      <c r="E15" s="33">
        <v>3.54</v>
      </c>
      <c r="F15" s="33">
        <v>5.56</v>
      </c>
      <c r="G15" s="33">
        <v>60</v>
      </c>
    </row>
    <row r="16" spans="1:7" x14ac:dyDescent="0.25">
      <c r="A16" s="5" t="s">
        <v>55</v>
      </c>
      <c r="B16" s="33" t="s">
        <v>56</v>
      </c>
      <c r="C16" s="5">
        <v>100</v>
      </c>
      <c r="D16" s="5">
        <f>C16*17.3/100</f>
        <v>17.3</v>
      </c>
      <c r="E16" s="5">
        <f>C16*21/100</f>
        <v>21</v>
      </c>
      <c r="F16" s="5">
        <f>C16*9.9/100</f>
        <v>9.9</v>
      </c>
      <c r="G16" s="5">
        <f>C16*298/100</f>
        <v>298</v>
      </c>
    </row>
    <row r="17" spans="1:7" x14ac:dyDescent="0.25">
      <c r="A17" s="5" t="s">
        <v>39</v>
      </c>
      <c r="B17" s="33" t="s">
        <v>37</v>
      </c>
      <c r="C17" s="5">
        <v>200</v>
      </c>
      <c r="D17" s="5">
        <f>C17*3.7/100</f>
        <v>7.4</v>
      </c>
      <c r="E17" s="5">
        <f>C17*3.3/100</f>
        <v>6.6</v>
      </c>
      <c r="F17" s="5">
        <f>C17*19.7/100</f>
        <v>39.4</v>
      </c>
      <c r="G17" s="5">
        <f>C17*123/100</f>
        <v>246</v>
      </c>
    </row>
    <row r="18" spans="1:7" x14ac:dyDescent="0.25">
      <c r="A18" s="5" t="s">
        <v>22</v>
      </c>
      <c r="B18" s="33" t="s">
        <v>19</v>
      </c>
      <c r="C18" s="5">
        <v>200</v>
      </c>
      <c r="D18" s="5">
        <f>C18*0.2/200</f>
        <v>0.2</v>
      </c>
      <c r="E18" s="5">
        <f>C18*0.1/200</f>
        <v>0.1</v>
      </c>
      <c r="F18" s="5">
        <f>C18*9.3/200</f>
        <v>9.3000000000000007</v>
      </c>
      <c r="G18" s="5">
        <f>C18*38/200</f>
        <v>38</v>
      </c>
    </row>
    <row r="19" spans="1:7" x14ac:dyDescent="0.25">
      <c r="A19" s="5" t="s">
        <v>53</v>
      </c>
      <c r="B19" s="33" t="s">
        <v>54</v>
      </c>
      <c r="C19" s="5">
        <v>50</v>
      </c>
      <c r="D19" s="5">
        <f>C19*7.6/100</f>
        <v>3.8</v>
      </c>
      <c r="E19" s="5">
        <f>C19*0.8/100</f>
        <v>0.4</v>
      </c>
      <c r="F19" s="5">
        <f>C19*49.2/100</f>
        <v>24.6</v>
      </c>
      <c r="G19" s="5">
        <f>C19*234/100</f>
        <v>117</v>
      </c>
    </row>
    <row r="20" spans="1:7" x14ac:dyDescent="0.25">
      <c r="A20" s="5" t="s">
        <v>15</v>
      </c>
      <c r="B20" s="5" t="s">
        <v>16</v>
      </c>
      <c r="C20" s="5">
        <v>50</v>
      </c>
      <c r="D20" s="5">
        <f>C20*8/100</f>
        <v>4</v>
      </c>
      <c r="E20" s="5">
        <f>C20*1.5/100</f>
        <v>0.75</v>
      </c>
      <c r="F20" s="5">
        <f>C20*40.1/100</f>
        <v>20.05</v>
      </c>
      <c r="G20" s="5">
        <f>C20*206/100</f>
        <v>103</v>
      </c>
    </row>
    <row r="21" spans="1:7" x14ac:dyDescent="0.25">
      <c r="A21" s="40" t="s">
        <v>70</v>
      </c>
      <c r="B21" s="41"/>
      <c r="C21" s="5">
        <f>SUM(C14:C20)</f>
        <v>900</v>
      </c>
      <c r="D21" s="5">
        <f>SUM(D14:D20)</f>
        <v>40.58</v>
      </c>
      <c r="E21" s="5">
        <f>SUM(E14:E20)</f>
        <v>40.89</v>
      </c>
      <c r="F21" s="5">
        <f>SUM(F14:F20)</f>
        <v>116.21</v>
      </c>
      <c r="G21" s="5">
        <f>SUM(G14:G20)</f>
        <v>994</v>
      </c>
    </row>
    <row r="22" spans="1:7" x14ac:dyDescent="0.25">
      <c r="A22" s="8"/>
      <c r="B22" s="8"/>
      <c r="C22" s="8"/>
      <c r="D22" s="8"/>
      <c r="E22" s="8"/>
      <c r="F22" s="8"/>
      <c r="G22" s="8"/>
    </row>
    <row r="23" spans="1:7" x14ac:dyDescent="0.25">
      <c r="A23" s="8"/>
      <c r="B23" s="8"/>
      <c r="C23" s="8"/>
      <c r="D23" s="8"/>
      <c r="E23" s="8"/>
      <c r="F23" s="8"/>
      <c r="G23" s="8"/>
    </row>
    <row r="24" spans="1:7" x14ac:dyDescent="0.25">
      <c r="A24" s="40" t="s">
        <v>67</v>
      </c>
      <c r="B24" s="41"/>
      <c r="C24" s="5">
        <f>C9+C21</f>
        <v>1450</v>
      </c>
      <c r="D24" s="5">
        <f>D9+D21</f>
        <v>57.548989547038325</v>
      </c>
      <c r="E24" s="5">
        <f>E9+E21</f>
        <v>84.291742160278744</v>
      </c>
      <c r="F24" s="5">
        <f>F9+F21</f>
        <v>202.14240418118465</v>
      </c>
      <c r="G24" s="5">
        <f>G9+G21</f>
        <v>1797.3379790940767</v>
      </c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19"/>
      <c r="B26" s="19"/>
      <c r="C26" s="19"/>
      <c r="D26" s="19"/>
      <c r="E26" s="19"/>
      <c r="F26" s="19"/>
      <c r="G26" s="19"/>
    </row>
    <row r="27" spans="1:7" x14ac:dyDescent="0.25">
      <c r="A27" s="20"/>
      <c r="B27" s="8"/>
      <c r="C27" s="8"/>
      <c r="D27" s="8"/>
      <c r="E27" s="8"/>
      <c r="F27" s="8"/>
      <c r="G27" s="8"/>
    </row>
    <row r="28" spans="1:7" x14ac:dyDescent="0.25">
      <c r="A28" s="49"/>
      <c r="B28" s="49"/>
      <c r="C28" s="21"/>
      <c r="D28" s="49"/>
      <c r="E28" s="49"/>
      <c r="F28" s="49"/>
      <c r="G28" s="49"/>
    </row>
    <row r="29" spans="1:7" x14ac:dyDescent="0.25">
      <c r="A29" s="49"/>
      <c r="B29" s="49"/>
      <c r="C29" s="21"/>
      <c r="D29" s="21"/>
      <c r="E29" s="21"/>
      <c r="F29" s="21"/>
      <c r="G29" s="21"/>
    </row>
    <row r="30" spans="1:7" x14ac:dyDescent="0.25">
      <c r="A30" s="21"/>
      <c r="B30" s="21"/>
      <c r="C30" s="21"/>
      <c r="D30" s="21"/>
      <c r="E30" s="21"/>
      <c r="F30" s="21"/>
      <c r="G30" s="21"/>
    </row>
    <row r="31" spans="1:7" x14ac:dyDescent="0.25">
      <c r="A31" s="8"/>
      <c r="B31" s="8"/>
      <c r="C31" s="8"/>
      <c r="D31" s="8"/>
      <c r="E31" s="8"/>
      <c r="F31" s="8"/>
      <c r="G31" s="8"/>
    </row>
    <row r="32" spans="1:7" x14ac:dyDescent="0.25">
      <c r="A32" s="8"/>
      <c r="B32" s="8"/>
      <c r="C32" s="8"/>
      <c r="D32" s="8"/>
      <c r="E32" s="8"/>
      <c r="F32" s="8"/>
      <c r="G32" s="8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2" t="s">
        <v>18</v>
      </c>
      <c r="B34" s="10"/>
      <c r="C34" s="10"/>
      <c r="D34" s="10"/>
      <c r="E34" s="10"/>
      <c r="F34" s="10"/>
      <c r="G34" s="10"/>
    </row>
    <row r="35" spans="1:7" ht="15.75" thickBot="1" x14ac:dyDescent="0.3">
      <c r="A35" s="17" t="s">
        <v>69</v>
      </c>
      <c r="B35" s="2"/>
      <c r="C35" s="2"/>
      <c r="D35" s="2"/>
      <c r="E35" s="2"/>
      <c r="F35" s="2"/>
      <c r="G35" s="2"/>
    </row>
    <row r="36" spans="1:7" ht="15.75" thickBot="1" x14ac:dyDescent="0.3">
      <c r="A36" s="42" t="s">
        <v>0</v>
      </c>
      <c r="B36" s="42" t="s">
        <v>1</v>
      </c>
      <c r="C36" s="1" t="s">
        <v>2</v>
      </c>
      <c r="D36" s="44" t="s">
        <v>4</v>
      </c>
      <c r="E36" s="45"/>
      <c r="F36" s="45"/>
      <c r="G36" s="46"/>
    </row>
    <row r="37" spans="1:7" ht="15" hidden="1" customHeight="1" x14ac:dyDescent="0.25">
      <c r="A37" s="43"/>
      <c r="B37" s="43"/>
      <c r="C37" s="4" t="s">
        <v>3</v>
      </c>
      <c r="D37" s="4" t="s">
        <v>5</v>
      </c>
      <c r="E37" s="4" t="s">
        <v>6</v>
      </c>
      <c r="F37" s="4" t="s">
        <v>7</v>
      </c>
      <c r="G37" s="4" t="s">
        <v>8</v>
      </c>
    </row>
    <row r="38" spans="1:7" ht="15" hidden="1" customHeight="1" x14ac:dyDescent="0.25">
      <c r="A38" s="5" t="s">
        <v>71</v>
      </c>
      <c r="B38" s="7" t="s">
        <v>72</v>
      </c>
      <c r="C38" s="5">
        <v>220</v>
      </c>
      <c r="D38" s="5">
        <f>C38*37.3/1025</f>
        <v>8.0058536585365854</v>
      </c>
      <c r="E38" s="5">
        <f>C38*33.2/1025</f>
        <v>7.1258536585365864</v>
      </c>
      <c r="F38" s="5">
        <f>C38*181.3/1025</f>
        <v>38.913170731707318</v>
      </c>
      <c r="G38" s="5">
        <f>C38*1173/1025</f>
        <v>251.7658536585366</v>
      </c>
    </row>
    <row r="39" spans="1:7" ht="15" customHeight="1" x14ac:dyDescent="0.25">
      <c r="A39" s="5" t="s">
        <v>79</v>
      </c>
      <c r="B39" s="7" t="s">
        <v>80</v>
      </c>
      <c r="C39" s="5">
        <v>250</v>
      </c>
      <c r="D39" s="5">
        <f>C39*28.8/1000</f>
        <v>7.2</v>
      </c>
      <c r="E39" s="5">
        <f>C39*32.4/1000</f>
        <v>8.1</v>
      </c>
      <c r="F39" s="5">
        <f>C39*98.5/1000</f>
        <v>24.625</v>
      </c>
      <c r="G39" s="5">
        <f>C39*801/1000</f>
        <v>200.25</v>
      </c>
    </row>
    <row r="40" spans="1:7" x14ac:dyDescent="0.25">
      <c r="A40" s="5" t="s">
        <v>81</v>
      </c>
      <c r="B40" s="5" t="s">
        <v>82</v>
      </c>
      <c r="C40" s="5">
        <v>100</v>
      </c>
      <c r="D40" s="5">
        <f>C40*1.6/45</f>
        <v>3.5555555555555554</v>
      </c>
      <c r="E40" s="5">
        <f>C40*3.8/45</f>
        <v>8.4444444444444446</v>
      </c>
      <c r="F40" s="5">
        <f>C40*23.4/45</f>
        <v>52</v>
      </c>
      <c r="G40" s="5">
        <f>C40*134/45</f>
        <v>297.77777777777777</v>
      </c>
    </row>
    <row r="41" spans="1:7" x14ac:dyDescent="0.25">
      <c r="A41" s="5" t="s">
        <v>84</v>
      </c>
      <c r="B41" s="5" t="s">
        <v>83</v>
      </c>
      <c r="C41" s="5">
        <v>200</v>
      </c>
      <c r="D41" s="5">
        <f>C41*1.6/200</f>
        <v>1.6</v>
      </c>
      <c r="E41" s="5">
        <f>C41*1.3/200</f>
        <v>1.3</v>
      </c>
      <c r="F41" s="5">
        <f>C41*11.5/200</f>
        <v>11.5</v>
      </c>
      <c r="G41" s="5">
        <f>C41*64/200</f>
        <v>64</v>
      </c>
    </row>
    <row r="42" spans="1:7" x14ac:dyDescent="0.25">
      <c r="A42" s="40" t="s">
        <v>70</v>
      </c>
      <c r="B42" s="41"/>
      <c r="C42" s="5">
        <f>SUM(C39:C41)</f>
        <v>550</v>
      </c>
      <c r="D42" s="5">
        <f>SUM(D39:D41)</f>
        <v>12.355555555555556</v>
      </c>
      <c r="E42" s="5">
        <f>SUM(E39:E41)</f>
        <v>17.844444444444445</v>
      </c>
      <c r="F42" s="5">
        <f>SUM(F39:F41)</f>
        <v>88.125</v>
      </c>
      <c r="G42" s="5">
        <f>SUM(G39:G41)</f>
        <v>562.02777777777783</v>
      </c>
    </row>
    <row r="43" spans="1:7" x14ac:dyDescent="0.25">
      <c r="A43" s="8"/>
      <c r="B43" s="8"/>
      <c r="C43" s="8"/>
      <c r="D43" s="8"/>
      <c r="E43" s="8"/>
      <c r="F43" s="8"/>
      <c r="G43" s="8"/>
    </row>
    <row r="44" spans="1:7" ht="15.75" thickBot="1" x14ac:dyDescent="0.3">
      <c r="A44" s="6" t="s">
        <v>10</v>
      </c>
      <c r="B44" s="10"/>
      <c r="C44" s="10"/>
      <c r="D44" s="10"/>
      <c r="E44" s="10"/>
      <c r="F44" s="10"/>
      <c r="G44" s="10"/>
    </row>
    <row r="45" spans="1:7" ht="15.75" thickBot="1" x14ac:dyDescent="0.3">
      <c r="A45" s="42" t="s">
        <v>0</v>
      </c>
      <c r="B45" s="42" t="s">
        <v>1</v>
      </c>
      <c r="C45" s="1" t="s">
        <v>2</v>
      </c>
      <c r="D45" s="44" t="s">
        <v>4</v>
      </c>
      <c r="E45" s="45"/>
      <c r="F45" s="45"/>
      <c r="G45" s="46"/>
    </row>
    <row r="46" spans="1:7" ht="26.25" x14ac:dyDescent="0.25">
      <c r="A46" s="43"/>
      <c r="B46" s="43"/>
      <c r="C46" s="4" t="s">
        <v>3</v>
      </c>
      <c r="D46" s="4" t="s">
        <v>5</v>
      </c>
      <c r="E46" s="4" t="s">
        <v>6</v>
      </c>
      <c r="F46" s="4" t="s">
        <v>7</v>
      </c>
      <c r="G46" s="4" t="s">
        <v>8</v>
      </c>
    </row>
    <row r="47" spans="1:7" x14ac:dyDescent="0.25">
      <c r="A47" s="5" t="s">
        <v>31</v>
      </c>
      <c r="B47" s="5" t="s">
        <v>32</v>
      </c>
      <c r="C47" s="5">
        <v>100</v>
      </c>
      <c r="D47" s="5">
        <f>C47*1.45/100</f>
        <v>1.45</v>
      </c>
      <c r="E47" s="5">
        <f>C47*6/100</f>
        <v>6</v>
      </c>
      <c r="F47" s="5">
        <f>C47*8.4/100</f>
        <v>8.4</v>
      </c>
      <c r="G47" s="5">
        <f>C47*94/100</f>
        <v>94</v>
      </c>
    </row>
    <row r="48" spans="1:7" x14ac:dyDescent="0.25">
      <c r="A48" s="5" t="s">
        <v>130</v>
      </c>
      <c r="B48" s="5" t="s">
        <v>131</v>
      </c>
      <c r="C48" s="5">
        <v>200</v>
      </c>
      <c r="D48" s="5">
        <v>6.4</v>
      </c>
      <c r="E48" s="5">
        <v>8.34</v>
      </c>
      <c r="F48" s="5">
        <v>1.32</v>
      </c>
      <c r="G48" s="5">
        <v>106</v>
      </c>
    </row>
    <row r="49" spans="1:7" x14ac:dyDescent="0.25">
      <c r="A49" s="5" t="s">
        <v>50</v>
      </c>
      <c r="B49" s="5" t="s">
        <v>49</v>
      </c>
      <c r="C49" s="5">
        <v>100</v>
      </c>
      <c r="D49" s="5">
        <f>C49*9/70</f>
        <v>12.857142857142858</v>
      </c>
      <c r="E49" s="5">
        <f>C49*1.1/70</f>
        <v>1.5714285714285716</v>
      </c>
      <c r="F49" s="5">
        <f>C49*7/70</f>
        <v>10</v>
      </c>
      <c r="G49" s="5">
        <f>C49*74/70</f>
        <v>105.71428571428571</v>
      </c>
    </row>
    <row r="50" spans="1:7" x14ac:dyDescent="0.25">
      <c r="A50" s="5" t="s">
        <v>57</v>
      </c>
      <c r="B50" s="5" t="s">
        <v>58</v>
      </c>
      <c r="C50" s="5">
        <v>200</v>
      </c>
      <c r="D50" s="5">
        <f>C50*25.1/1000</f>
        <v>5.0199999999999996</v>
      </c>
      <c r="E50" s="5">
        <f>C50*36.2/1000</f>
        <v>7.2400000000000011</v>
      </c>
      <c r="F50" s="5">
        <f>C50*259/1000</f>
        <v>51.8</v>
      </c>
      <c r="G50" s="5">
        <f>C50*1462/1000</f>
        <v>292.39999999999998</v>
      </c>
    </row>
    <row r="51" spans="1:7" x14ac:dyDescent="0.25">
      <c r="A51" s="5" t="s">
        <v>13</v>
      </c>
      <c r="B51" s="5" t="s">
        <v>14</v>
      </c>
      <c r="C51" s="5">
        <v>200</v>
      </c>
      <c r="D51" s="5">
        <f>C51*0.6/200</f>
        <v>0.6</v>
      </c>
      <c r="E51" s="5">
        <f>C51*0.1/200</f>
        <v>0.1</v>
      </c>
      <c r="F51" s="5">
        <f>C51*20.1/200</f>
        <v>20.100000000000001</v>
      </c>
      <c r="G51" s="5">
        <f>C51*84/200</f>
        <v>84</v>
      </c>
    </row>
    <row r="52" spans="1:7" x14ac:dyDescent="0.25">
      <c r="A52" s="5" t="s">
        <v>53</v>
      </c>
      <c r="B52" s="5" t="s">
        <v>54</v>
      </c>
      <c r="C52" s="5">
        <v>50</v>
      </c>
      <c r="D52" s="5">
        <f>C52*7.6/100</f>
        <v>3.8</v>
      </c>
      <c r="E52" s="5">
        <f>C52*0.8/100</f>
        <v>0.4</v>
      </c>
      <c r="F52" s="5">
        <f>C52*49.2/100</f>
        <v>24.6</v>
      </c>
      <c r="G52" s="5">
        <f>C52*234/100</f>
        <v>117</v>
      </c>
    </row>
    <row r="53" spans="1:7" x14ac:dyDescent="0.25">
      <c r="A53" s="5" t="s">
        <v>15</v>
      </c>
      <c r="B53" s="5" t="s">
        <v>16</v>
      </c>
      <c r="C53" s="5">
        <v>50</v>
      </c>
      <c r="D53" s="5">
        <f>C53*8/100</f>
        <v>4</v>
      </c>
      <c r="E53" s="5">
        <f>C53*1.5/100</f>
        <v>0.75</v>
      </c>
      <c r="F53" s="5">
        <f>C53*40.1/100</f>
        <v>20.05</v>
      </c>
      <c r="G53" s="5">
        <f>C53*206/100</f>
        <v>103</v>
      </c>
    </row>
    <row r="54" spans="1:7" x14ac:dyDescent="0.25">
      <c r="A54" s="40" t="s">
        <v>17</v>
      </c>
      <c r="B54" s="41"/>
      <c r="C54" s="5">
        <f>SUM(C47:C53)</f>
        <v>900</v>
      </c>
      <c r="D54" s="5">
        <f>SUM(D47:D53)</f>
        <v>34.127142857142857</v>
      </c>
      <c r="E54" s="5">
        <f>SUM(E47:E53)</f>
        <v>24.401428571428571</v>
      </c>
      <c r="F54" s="5">
        <f>SUM(F47:F53)</f>
        <v>136.27000000000001</v>
      </c>
      <c r="G54" s="5">
        <f>SUM(G47:G53)</f>
        <v>902.11428571428564</v>
      </c>
    </row>
    <row r="55" spans="1:7" x14ac:dyDescent="0.25">
      <c r="A55" s="8"/>
      <c r="B55" s="8"/>
      <c r="C55" s="8"/>
      <c r="D55" s="8"/>
      <c r="E55" s="8"/>
      <c r="F55" s="8"/>
      <c r="G55" s="8"/>
    </row>
    <row r="56" spans="1:7" x14ac:dyDescent="0.25">
      <c r="A56" s="8"/>
      <c r="B56" s="8"/>
      <c r="C56" s="8"/>
      <c r="D56" s="8"/>
      <c r="E56" s="8"/>
      <c r="F56" s="8"/>
      <c r="G56" s="8"/>
    </row>
    <row r="57" spans="1:7" x14ac:dyDescent="0.25">
      <c r="A57" s="40" t="s">
        <v>67</v>
      </c>
      <c r="B57" s="41"/>
      <c r="C57" s="5">
        <f>C42+C54</f>
        <v>1450</v>
      </c>
      <c r="D57" s="5">
        <f>D42+D54</f>
        <v>46.482698412698412</v>
      </c>
      <c r="E57" s="5">
        <f>E42+E54</f>
        <v>42.245873015873016</v>
      </c>
      <c r="F57" s="5">
        <f>F42+F54</f>
        <v>224.39500000000001</v>
      </c>
      <c r="G57" s="5">
        <f>G42+G54</f>
        <v>1464.1420634920635</v>
      </c>
    </row>
    <row r="58" spans="1:7" x14ac:dyDescent="0.25">
      <c r="A58" s="48"/>
      <c r="B58" s="48"/>
      <c r="C58" s="8"/>
      <c r="D58" s="8"/>
      <c r="E58" s="8"/>
      <c r="F58" s="8"/>
      <c r="G58" s="8"/>
    </row>
    <row r="59" spans="1:7" x14ac:dyDescent="0.25">
      <c r="A59" s="9"/>
      <c r="B59" s="9"/>
      <c r="C59" s="9"/>
      <c r="D59" s="9"/>
      <c r="E59" s="9"/>
      <c r="F59" s="9"/>
      <c r="G59" s="9"/>
    </row>
    <row r="60" spans="1:7" x14ac:dyDescent="0.25">
      <c r="A60" s="20"/>
      <c r="B60" s="8"/>
      <c r="C60" s="8"/>
      <c r="D60" s="8"/>
      <c r="E60" s="8"/>
      <c r="F60" s="8"/>
      <c r="G60" s="8"/>
    </row>
    <row r="61" spans="1:7" x14ac:dyDescent="0.25">
      <c r="A61" s="49"/>
      <c r="B61" s="49"/>
      <c r="C61" s="21"/>
      <c r="D61" s="49"/>
      <c r="E61" s="49"/>
      <c r="F61" s="49"/>
      <c r="G61" s="49"/>
    </row>
    <row r="62" spans="1:7" x14ac:dyDescent="0.25">
      <c r="A62" s="49"/>
      <c r="B62" s="49"/>
      <c r="C62" s="21"/>
      <c r="D62" s="21"/>
      <c r="E62" s="21"/>
      <c r="F62" s="21"/>
      <c r="G62" s="21"/>
    </row>
    <row r="63" spans="1:7" x14ac:dyDescent="0.25">
      <c r="A63" s="8"/>
      <c r="B63" s="8"/>
      <c r="C63" s="8"/>
      <c r="D63" s="8"/>
      <c r="E63" s="8"/>
      <c r="F63" s="8"/>
      <c r="G63" s="8"/>
    </row>
    <row r="64" spans="1:7" x14ac:dyDescent="0.25">
      <c r="A64" s="8"/>
      <c r="B64" s="8"/>
      <c r="C64" s="8"/>
      <c r="D64" s="8"/>
      <c r="E64" s="8"/>
      <c r="F64" s="8"/>
      <c r="G64" s="8"/>
    </row>
    <row r="65" spans="1:8" x14ac:dyDescent="0.25">
      <c r="A65" s="18"/>
      <c r="B65" s="18"/>
      <c r="C65" s="18"/>
      <c r="D65" s="18"/>
      <c r="E65" s="18"/>
      <c r="F65" s="18"/>
      <c r="G65" s="18"/>
    </row>
    <row r="66" spans="1:8" x14ac:dyDescent="0.25">
      <c r="A66" s="8"/>
      <c r="B66" s="8"/>
      <c r="C66" s="8"/>
      <c r="D66" s="8"/>
      <c r="E66" s="8"/>
      <c r="F66" s="8"/>
      <c r="G66" s="8"/>
    </row>
    <row r="67" spans="1:8" x14ac:dyDescent="0.25">
      <c r="A67" s="2" t="s">
        <v>25</v>
      </c>
      <c r="B67" s="16"/>
      <c r="C67" s="16"/>
      <c r="D67" s="16"/>
      <c r="E67" s="16"/>
      <c r="F67" s="16"/>
      <c r="G67" s="16"/>
    </row>
    <row r="68" spans="1:8" ht="15.75" thickBot="1" x14ac:dyDescent="0.3">
      <c r="A68" s="17" t="s">
        <v>69</v>
      </c>
      <c r="B68" s="2"/>
      <c r="C68" s="2"/>
      <c r="D68" s="2"/>
      <c r="E68" s="2"/>
      <c r="F68" s="2"/>
      <c r="G68" s="2"/>
    </row>
    <row r="69" spans="1:8" ht="15.75" thickBot="1" x14ac:dyDescent="0.3">
      <c r="A69" s="42" t="s">
        <v>0</v>
      </c>
      <c r="B69" s="42" t="s">
        <v>1</v>
      </c>
      <c r="C69" s="1" t="s">
        <v>2</v>
      </c>
      <c r="D69" s="44" t="s">
        <v>4</v>
      </c>
      <c r="E69" s="45"/>
      <c r="F69" s="45"/>
      <c r="G69" s="46"/>
    </row>
    <row r="70" spans="1:8" ht="26.25" x14ac:dyDescent="0.25">
      <c r="A70" s="43"/>
      <c r="B70" s="43"/>
      <c r="C70" s="4" t="s">
        <v>3</v>
      </c>
      <c r="D70" s="4" t="s">
        <v>5</v>
      </c>
      <c r="E70" s="4" t="s">
        <v>6</v>
      </c>
      <c r="F70" s="4" t="s">
        <v>7</v>
      </c>
      <c r="G70" s="4" t="s">
        <v>8</v>
      </c>
    </row>
    <row r="71" spans="1:8" x14ac:dyDescent="0.25">
      <c r="A71" s="5" t="s">
        <v>85</v>
      </c>
      <c r="B71" s="7" t="s">
        <v>86</v>
      </c>
      <c r="C71" s="5">
        <v>250</v>
      </c>
      <c r="D71" s="5">
        <f>C71*26/1025</f>
        <v>6.3414634146341466</v>
      </c>
      <c r="E71" s="5">
        <f>C71*33/1025</f>
        <v>8.0487804878048781</v>
      </c>
      <c r="F71" s="5">
        <f>C71*138/1025</f>
        <v>33.658536585365852</v>
      </c>
      <c r="G71" s="5">
        <f>C71*953/1025</f>
        <v>232.4390243902439</v>
      </c>
    </row>
    <row r="72" spans="1:8" x14ac:dyDescent="0.25">
      <c r="A72" s="5" t="s">
        <v>87</v>
      </c>
      <c r="B72" s="5" t="s">
        <v>88</v>
      </c>
      <c r="C72" s="5">
        <v>100</v>
      </c>
      <c r="D72" s="5">
        <f>C72*6.9/45</f>
        <v>15.333333333333334</v>
      </c>
      <c r="E72" s="5">
        <f>C72*9/45</f>
        <v>20</v>
      </c>
      <c r="F72" s="5">
        <f>C72*10/45</f>
        <v>22.222222222222221</v>
      </c>
      <c r="G72" s="5">
        <f>C72*149/45</f>
        <v>331.11111111111109</v>
      </c>
    </row>
    <row r="73" spans="1:8" x14ac:dyDescent="0.25">
      <c r="A73" s="5" t="s">
        <v>75</v>
      </c>
      <c r="B73" s="5" t="s">
        <v>76</v>
      </c>
      <c r="C73" s="5">
        <v>200</v>
      </c>
      <c r="D73" s="5">
        <f>C73*3.3/200</f>
        <v>3.3</v>
      </c>
      <c r="E73" s="5">
        <f>C73*2.9/200</f>
        <v>2.9</v>
      </c>
      <c r="F73" s="5">
        <f>C73*13.8/200</f>
        <v>13.8</v>
      </c>
      <c r="G73" s="5">
        <f>C73*94/200</f>
        <v>94</v>
      </c>
    </row>
    <row r="74" spans="1:8" x14ac:dyDescent="0.25">
      <c r="A74" s="40" t="s">
        <v>70</v>
      </c>
      <c r="B74" s="41"/>
      <c r="C74" s="5">
        <f>SUM(C71:C73)</f>
        <v>550</v>
      </c>
      <c r="D74" s="5">
        <f>SUM(D71:D73)</f>
        <v>24.974796747967481</v>
      </c>
      <c r="E74" s="5">
        <f>SUM(E71:E73)</f>
        <v>30.948780487804875</v>
      </c>
      <c r="F74" s="5">
        <f>SUM(F71:F73)</f>
        <v>69.680758807588077</v>
      </c>
      <c r="G74" s="5">
        <f>SUM(G71:G73)</f>
        <v>657.55013550135504</v>
      </c>
    </row>
    <row r="75" spans="1:8" x14ac:dyDescent="0.25">
      <c r="A75" s="9"/>
      <c r="B75" s="9"/>
      <c r="C75" s="9"/>
      <c r="D75" s="9"/>
      <c r="E75" s="9"/>
      <c r="F75" s="9"/>
      <c r="G75" s="9"/>
    </row>
    <row r="76" spans="1:8" ht="15.75" thickBot="1" x14ac:dyDescent="0.3">
      <c r="A76" s="6" t="s">
        <v>10</v>
      </c>
      <c r="B76" s="16"/>
      <c r="C76" s="16"/>
      <c r="D76" s="16"/>
      <c r="E76" s="16"/>
      <c r="F76" s="16"/>
      <c r="G76" s="16"/>
    </row>
    <row r="77" spans="1:8" ht="15.75" thickBot="1" x14ac:dyDescent="0.3">
      <c r="A77" s="42" t="s">
        <v>0</v>
      </c>
      <c r="B77" s="42" t="s">
        <v>1</v>
      </c>
      <c r="C77" s="1" t="s">
        <v>2</v>
      </c>
      <c r="D77" s="44" t="s">
        <v>4</v>
      </c>
      <c r="E77" s="45"/>
      <c r="F77" s="45"/>
      <c r="G77" s="46"/>
    </row>
    <row r="78" spans="1:8" ht="26.25" x14ac:dyDescent="0.25">
      <c r="A78" s="43"/>
      <c r="B78" s="43"/>
      <c r="C78" s="4" t="s">
        <v>3</v>
      </c>
      <c r="D78" s="4" t="s">
        <v>5</v>
      </c>
      <c r="E78" s="4" t="s">
        <v>6</v>
      </c>
      <c r="F78" s="4" t="s">
        <v>7</v>
      </c>
      <c r="G78" s="4" t="s">
        <v>8</v>
      </c>
    </row>
    <row r="79" spans="1:8" x14ac:dyDescent="0.25">
      <c r="A79" s="5" t="s">
        <v>142</v>
      </c>
      <c r="B79" s="5" t="s">
        <v>143</v>
      </c>
      <c r="C79" s="5">
        <v>100</v>
      </c>
      <c r="D79" s="5">
        <v>4.8</v>
      </c>
      <c r="E79" s="5">
        <v>10.7</v>
      </c>
      <c r="F79" s="5">
        <v>6.5</v>
      </c>
      <c r="G79" s="5">
        <v>141</v>
      </c>
    </row>
    <row r="80" spans="1:8" x14ac:dyDescent="0.25">
      <c r="A80" s="33" t="s">
        <v>133</v>
      </c>
      <c r="B80" s="33" t="s">
        <v>132</v>
      </c>
      <c r="C80" s="33">
        <v>200</v>
      </c>
      <c r="D80" s="33">
        <v>7.16</v>
      </c>
      <c r="E80" s="33">
        <v>7.66</v>
      </c>
      <c r="F80" s="33">
        <v>6</v>
      </c>
      <c r="G80" s="33">
        <v>121.6</v>
      </c>
      <c r="H80" s="35"/>
    </row>
    <row r="81" spans="1:7" x14ac:dyDescent="0.25">
      <c r="A81" s="5" t="s">
        <v>135</v>
      </c>
      <c r="B81" s="5" t="s">
        <v>134</v>
      </c>
      <c r="C81" s="5">
        <v>100</v>
      </c>
      <c r="D81" s="5">
        <v>10.5</v>
      </c>
      <c r="E81" s="5">
        <v>17.100000000000001</v>
      </c>
      <c r="F81" s="5">
        <v>0.2</v>
      </c>
      <c r="G81" s="5">
        <v>197</v>
      </c>
    </row>
    <row r="82" spans="1:7" x14ac:dyDescent="0.25">
      <c r="A82" s="5" t="s">
        <v>59</v>
      </c>
      <c r="B82" s="5" t="s">
        <v>60</v>
      </c>
      <c r="C82" s="5">
        <v>30</v>
      </c>
      <c r="D82" s="5">
        <f>C82*9.5/1000</f>
        <v>0.28499999999999998</v>
      </c>
      <c r="E82" s="5">
        <f>C82*32.8/1000</f>
        <v>0.98399999999999987</v>
      </c>
      <c r="F82" s="5">
        <f>C82*46/1000</f>
        <v>1.38</v>
      </c>
      <c r="G82" s="5">
        <f>C82*519/1000</f>
        <v>15.57</v>
      </c>
    </row>
    <row r="83" spans="1:7" x14ac:dyDescent="0.25">
      <c r="A83" s="5" t="s">
        <v>61</v>
      </c>
      <c r="B83" s="5" t="s">
        <v>62</v>
      </c>
      <c r="C83" s="5">
        <v>200</v>
      </c>
      <c r="D83" s="5">
        <f>C83*60/1100</f>
        <v>10.909090909090908</v>
      </c>
      <c r="E83" s="5">
        <f>C83*33.8/1100</f>
        <v>6.1454545454545446</v>
      </c>
      <c r="F83" s="5">
        <f>C83*268.6/1100</f>
        <v>48.836363636363643</v>
      </c>
      <c r="G83" s="5">
        <f>C83*1620/1100</f>
        <v>294.54545454545456</v>
      </c>
    </row>
    <row r="84" spans="1:7" x14ac:dyDescent="0.25">
      <c r="A84" s="5" t="s">
        <v>22</v>
      </c>
      <c r="B84" s="5" t="s">
        <v>19</v>
      </c>
      <c r="C84" s="5">
        <v>200</v>
      </c>
      <c r="D84" s="5">
        <f>C84*0.2/200</f>
        <v>0.2</v>
      </c>
      <c r="E84" s="5">
        <f>C84*0.1/200</f>
        <v>0.1</v>
      </c>
      <c r="F84" s="5">
        <f>C84*9.3/200</f>
        <v>9.3000000000000007</v>
      </c>
      <c r="G84" s="5">
        <f>C84*38/200</f>
        <v>38</v>
      </c>
    </row>
    <row r="85" spans="1:7" x14ac:dyDescent="0.25">
      <c r="A85" s="5" t="s">
        <v>53</v>
      </c>
      <c r="B85" s="5" t="s">
        <v>54</v>
      </c>
      <c r="C85" s="5">
        <v>50</v>
      </c>
      <c r="D85" s="5">
        <f>C85*7.6/100</f>
        <v>3.8</v>
      </c>
      <c r="E85" s="5">
        <f>C85*0.8/100</f>
        <v>0.4</v>
      </c>
      <c r="F85" s="5">
        <f>C85*49.2/100</f>
        <v>24.6</v>
      </c>
      <c r="G85" s="5">
        <f>C85*234/100</f>
        <v>117</v>
      </c>
    </row>
    <row r="86" spans="1:7" x14ac:dyDescent="0.25">
      <c r="A86" s="5" t="s">
        <v>15</v>
      </c>
      <c r="B86" s="5" t="s">
        <v>16</v>
      </c>
      <c r="C86" s="5">
        <v>50</v>
      </c>
      <c r="D86" s="5">
        <f>C86*8/100</f>
        <v>4</v>
      </c>
      <c r="E86" s="5">
        <f>C86*1.5/100</f>
        <v>0.75</v>
      </c>
      <c r="F86" s="5">
        <f>C86*40.1/100</f>
        <v>20.05</v>
      </c>
      <c r="G86" s="5">
        <f>C86*206/100</f>
        <v>103</v>
      </c>
    </row>
    <row r="87" spans="1:7" x14ac:dyDescent="0.25">
      <c r="A87" s="40" t="s">
        <v>17</v>
      </c>
      <c r="B87" s="41"/>
      <c r="C87" s="5">
        <f>SUM(C79:C86)</f>
        <v>930</v>
      </c>
      <c r="D87" s="5">
        <f>SUM(D79:D86)</f>
        <v>41.654090909090911</v>
      </c>
      <c r="E87" s="5">
        <f>SUM(E79:E86)</f>
        <v>43.839454545454544</v>
      </c>
      <c r="F87" s="5">
        <f>SUM(F79:F86)</f>
        <v>116.86636363636363</v>
      </c>
      <c r="G87" s="5">
        <f>SUM(G79:G86)</f>
        <v>1027.7154545454546</v>
      </c>
    </row>
    <row r="88" spans="1:7" x14ac:dyDescent="0.25">
      <c r="A88" s="48"/>
      <c r="B88" s="48"/>
      <c r="C88" s="8"/>
      <c r="D88" s="8"/>
      <c r="E88" s="8"/>
      <c r="F88" s="8"/>
      <c r="G88" s="8"/>
    </row>
    <row r="89" spans="1:7" x14ac:dyDescent="0.25">
      <c r="A89" s="9"/>
      <c r="B89" s="9"/>
      <c r="C89" s="9"/>
      <c r="D89" s="9"/>
      <c r="E89" s="9"/>
      <c r="F89" s="9"/>
      <c r="G89" s="9"/>
    </row>
    <row r="90" spans="1:7" x14ac:dyDescent="0.25">
      <c r="A90" s="40" t="s">
        <v>67</v>
      </c>
      <c r="B90" s="41"/>
      <c r="C90" s="5">
        <f>C74+C87</f>
        <v>1480</v>
      </c>
      <c r="D90" s="5">
        <f>D74+D87</f>
        <v>66.628887657058385</v>
      </c>
      <c r="E90" s="5">
        <f>E74+E87</f>
        <v>74.788235033259411</v>
      </c>
      <c r="F90" s="5">
        <f>F74+F87</f>
        <v>186.54712244395171</v>
      </c>
      <c r="G90" s="5">
        <f>G74+G87</f>
        <v>1685.2655900468096</v>
      </c>
    </row>
    <row r="91" spans="1:7" x14ac:dyDescent="0.25">
      <c r="A91" s="20"/>
      <c r="B91" s="8"/>
      <c r="C91" s="8"/>
      <c r="D91" s="8"/>
      <c r="E91" s="8"/>
      <c r="F91" s="8"/>
      <c r="G91" s="8"/>
    </row>
    <row r="92" spans="1:7" x14ac:dyDescent="0.25">
      <c r="A92" s="49"/>
      <c r="B92" s="49"/>
      <c r="C92" s="21"/>
      <c r="D92" s="49"/>
      <c r="E92" s="49"/>
      <c r="F92" s="49"/>
      <c r="G92" s="49"/>
    </row>
    <row r="93" spans="1:7" x14ac:dyDescent="0.25">
      <c r="A93" s="49"/>
      <c r="B93" s="49"/>
      <c r="C93" s="21"/>
      <c r="D93" s="21"/>
      <c r="E93" s="21"/>
      <c r="F93" s="21"/>
      <c r="G93" s="21"/>
    </row>
    <row r="94" spans="1:7" x14ac:dyDescent="0.25">
      <c r="A94" s="8"/>
      <c r="B94" s="22"/>
      <c r="C94" s="8"/>
      <c r="D94" s="8"/>
      <c r="E94" s="8"/>
      <c r="F94" s="8"/>
      <c r="G94" s="8"/>
    </row>
    <row r="95" spans="1:7" x14ac:dyDescent="0.25">
      <c r="A95" s="8"/>
      <c r="B95" s="8"/>
      <c r="C95" s="8"/>
      <c r="D95" s="8"/>
      <c r="E95" s="8"/>
      <c r="F95" s="8"/>
      <c r="G95" s="8"/>
    </row>
    <row r="96" spans="1:7" x14ac:dyDescent="0.25">
      <c r="A96" s="8"/>
      <c r="B96" s="8"/>
      <c r="C96" s="8"/>
      <c r="D96" s="8"/>
      <c r="E96" s="8"/>
      <c r="F96" s="8"/>
      <c r="G96" s="8"/>
    </row>
    <row r="97" spans="1:7" x14ac:dyDescent="0.25">
      <c r="A97" s="8"/>
      <c r="B97" s="8"/>
      <c r="C97" s="8"/>
      <c r="D97" s="8"/>
      <c r="E97" s="8"/>
      <c r="F97" s="8"/>
      <c r="G97" s="8"/>
    </row>
    <row r="98" spans="1:7" x14ac:dyDescent="0.25">
      <c r="A98" s="2" t="s">
        <v>30</v>
      </c>
      <c r="B98" s="16"/>
      <c r="C98" s="16"/>
      <c r="D98" s="16"/>
      <c r="E98" s="16"/>
      <c r="F98" s="16"/>
      <c r="G98" s="16"/>
    </row>
    <row r="99" spans="1:7" ht="15.75" thickBot="1" x14ac:dyDescent="0.3">
      <c r="A99" s="17" t="s">
        <v>69</v>
      </c>
      <c r="B99" s="2"/>
      <c r="C99" s="2"/>
      <c r="D99" s="2"/>
      <c r="E99" s="2"/>
      <c r="F99" s="2"/>
      <c r="G99" s="2"/>
    </row>
    <row r="100" spans="1:7" ht="15.75" thickBot="1" x14ac:dyDescent="0.3">
      <c r="A100" s="42" t="s">
        <v>0</v>
      </c>
      <c r="B100" s="42" t="s">
        <v>1</v>
      </c>
      <c r="C100" s="1" t="s">
        <v>2</v>
      </c>
      <c r="D100" s="44" t="s">
        <v>4</v>
      </c>
      <c r="E100" s="45"/>
      <c r="F100" s="45"/>
      <c r="G100" s="46"/>
    </row>
    <row r="101" spans="1:7" ht="26.25" x14ac:dyDescent="0.25">
      <c r="A101" s="43"/>
      <c r="B101" s="43"/>
      <c r="C101" s="4" t="s">
        <v>3</v>
      </c>
      <c r="D101" s="4" t="s">
        <v>5</v>
      </c>
      <c r="E101" s="4" t="s">
        <v>6</v>
      </c>
      <c r="F101" s="4" t="s">
        <v>7</v>
      </c>
      <c r="G101" s="4" t="s">
        <v>8</v>
      </c>
    </row>
    <row r="102" spans="1:7" x14ac:dyDescent="0.25">
      <c r="A102" s="5" t="s">
        <v>90</v>
      </c>
      <c r="B102" s="7" t="s">
        <v>89</v>
      </c>
      <c r="C102" s="5">
        <v>250</v>
      </c>
      <c r="D102" s="5">
        <f>C102*30.4/1025</f>
        <v>7.4146341463414638</v>
      </c>
      <c r="E102" s="5">
        <f>C102*33/1025</f>
        <v>8.0487804878048781</v>
      </c>
      <c r="F102" s="5">
        <f>C102*185.5/1025</f>
        <v>45.243902439024389</v>
      </c>
      <c r="G102" s="5">
        <f>C102*1161/1025</f>
        <v>283.17073170731709</v>
      </c>
    </row>
    <row r="103" spans="1:7" x14ac:dyDescent="0.25">
      <c r="A103" s="5" t="s">
        <v>73</v>
      </c>
      <c r="B103" s="5" t="s">
        <v>74</v>
      </c>
      <c r="C103" s="5">
        <v>100</v>
      </c>
      <c r="D103" s="5">
        <f>C103*1.6/35</f>
        <v>4.5714285714285712</v>
      </c>
      <c r="E103" s="5">
        <f>C103*11/35</f>
        <v>31.428571428571427</v>
      </c>
      <c r="F103" s="5">
        <f>C103*10/35</f>
        <v>28.571428571428573</v>
      </c>
      <c r="G103" s="5">
        <f>C103*146/35</f>
        <v>417.14285714285717</v>
      </c>
    </row>
    <row r="104" spans="1:7" x14ac:dyDescent="0.25">
      <c r="A104" s="5" t="s">
        <v>22</v>
      </c>
      <c r="B104" s="5" t="s">
        <v>19</v>
      </c>
      <c r="C104" s="5">
        <v>200</v>
      </c>
      <c r="D104" s="5">
        <f>C104*0.2/200</f>
        <v>0.2</v>
      </c>
      <c r="E104" s="5">
        <f>C104*0.1/200</f>
        <v>0.1</v>
      </c>
      <c r="F104" s="5">
        <f>C104*9.3/200</f>
        <v>9.3000000000000007</v>
      </c>
      <c r="G104" s="5">
        <f>C104*38/200</f>
        <v>38</v>
      </c>
    </row>
    <row r="105" spans="1:7" x14ac:dyDescent="0.25">
      <c r="A105" s="40" t="s">
        <v>70</v>
      </c>
      <c r="B105" s="41"/>
      <c r="C105" s="5">
        <f>SUM(C102:C104)</f>
        <v>550</v>
      </c>
      <c r="D105" s="5">
        <f>SUM(D102:D104)</f>
        <v>12.186062717770035</v>
      </c>
      <c r="E105" s="5">
        <f>SUM(E102:E104)</f>
        <v>39.577351916376308</v>
      </c>
      <c r="F105" s="5">
        <f>SUM(F102:F104)</f>
        <v>83.115331010452962</v>
      </c>
      <c r="G105" s="5">
        <f>SUM(G102:G104)</f>
        <v>738.31358885017426</v>
      </c>
    </row>
    <row r="106" spans="1:7" x14ac:dyDescent="0.25">
      <c r="A106" s="9"/>
      <c r="B106" s="9"/>
      <c r="C106" s="9"/>
      <c r="D106" s="9"/>
      <c r="E106" s="9"/>
      <c r="F106" s="9"/>
      <c r="G106" s="9"/>
    </row>
    <row r="107" spans="1:7" x14ac:dyDescent="0.25">
      <c r="A107" s="19"/>
      <c r="B107" s="19"/>
      <c r="C107" s="19"/>
      <c r="D107" s="19"/>
      <c r="E107" s="19"/>
      <c r="F107" s="19"/>
      <c r="G107" s="19"/>
    </row>
    <row r="108" spans="1:7" ht="15.75" thickBot="1" x14ac:dyDescent="0.3">
      <c r="A108" s="6" t="s">
        <v>10</v>
      </c>
      <c r="B108" s="16"/>
      <c r="C108" s="16"/>
      <c r="D108" s="16"/>
      <c r="E108" s="16"/>
      <c r="F108" s="16"/>
      <c r="G108" s="16"/>
    </row>
    <row r="109" spans="1:7" ht="15.75" thickBot="1" x14ac:dyDescent="0.3">
      <c r="A109" s="42" t="s">
        <v>0</v>
      </c>
      <c r="B109" s="42" t="s">
        <v>1</v>
      </c>
      <c r="C109" s="1" t="s">
        <v>2</v>
      </c>
      <c r="D109" s="44" t="s">
        <v>4</v>
      </c>
      <c r="E109" s="45"/>
      <c r="F109" s="45"/>
      <c r="G109" s="46"/>
    </row>
    <row r="110" spans="1:7" ht="26.25" x14ac:dyDescent="0.25">
      <c r="A110" s="43"/>
      <c r="B110" s="43"/>
      <c r="C110" s="4" t="s">
        <v>3</v>
      </c>
      <c r="D110" s="4" t="s">
        <v>5</v>
      </c>
      <c r="E110" s="4" t="s">
        <v>6</v>
      </c>
      <c r="F110" s="4" t="s">
        <v>7</v>
      </c>
      <c r="G110" s="4" t="s">
        <v>8</v>
      </c>
    </row>
    <row r="111" spans="1:7" x14ac:dyDescent="0.25">
      <c r="A111" s="5" t="s">
        <v>145</v>
      </c>
      <c r="B111" s="5" t="s">
        <v>144</v>
      </c>
      <c r="C111" s="5">
        <v>100</v>
      </c>
      <c r="D111" s="5">
        <v>1</v>
      </c>
      <c r="E111" s="5">
        <v>6.2</v>
      </c>
      <c r="F111" s="5">
        <v>3.6</v>
      </c>
      <c r="G111" s="5">
        <v>74</v>
      </c>
    </row>
    <row r="112" spans="1:7" x14ac:dyDescent="0.25">
      <c r="A112" s="33" t="s">
        <v>45</v>
      </c>
      <c r="B112" s="33" t="s">
        <v>46</v>
      </c>
      <c r="C112" s="33">
        <v>250</v>
      </c>
      <c r="D112" s="33">
        <v>2.625</v>
      </c>
      <c r="E112" s="33">
        <v>5.0999999999999996</v>
      </c>
      <c r="F112" s="33">
        <v>13.25</v>
      </c>
      <c r="G112" s="33">
        <v>109.5</v>
      </c>
    </row>
    <row r="113" spans="1:664" x14ac:dyDescent="0.25">
      <c r="A113" s="5" t="s">
        <v>138</v>
      </c>
      <c r="B113" s="5" t="s">
        <v>137</v>
      </c>
      <c r="C113" s="5">
        <v>100</v>
      </c>
      <c r="D113" s="5">
        <v>11.5</v>
      </c>
      <c r="E113" s="5">
        <v>10.3</v>
      </c>
      <c r="F113" s="5">
        <v>5.4</v>
      </c>
      <c r="G113" s="5">
        <v>160</v>
      </c>
    </row>
    <row r="114" spans="1:664" x14ac:dyDescent="0.25">
      <c r="A114" s="5" t="s">
        <v>104</v>
      </c>
      <c r="B114" s="5" t="s">
        <v>103</v>
      </c>
      <c r="C114" s="5">
        <v>30</v>
      </c>
      <c r="D114" s="5">
        <f>C114*29.5/1000</f>
        <v>0.88500000000000001</v>
      </c>
      <c r="E114" s="5">
        <f>C114*186.9/1000</f>
        <v>5.6070000000000002</v>
      </c>
      <c r="F114" s="5">
        <f>C114*48.5/1000</f>
        <v>1.4550000000000001</v>
      </c>
      <c r="G114" s="5">
        <f>C114*1994/1000</f>
        <v>59.82</v>
      </c>
    </row>
    <row r="115" spans="1:664" x14ac:dyDescent="0.25">
      <c r="A115" s="5" t="s">
        <v>39</v>
      </c>
      <c r="B115" s="5" t="s">
        <v>37</v>
      </c>
      <c r="C115" s="5">
        <v>180</v>
      </c>
      <c r="D115" s="5">
        <f>C115*3.7/100</f>
        <v>6.66</v>
      </c>
      <c r="E115" s="5">
        <f>C115*3.3/100</f>
        <v>5.94</v>
      </c>
      <c r="F115" s="5">
        <f>C115*19.7/100</f>
        <v>35.46</v>
      </c>
      <c r="G115" s="5">
        <f>C115*123/100</f>
        <v>221.4</v>
      </c>
    </row>
    <row r="116" spans="1:664" x14ac:dyDescent="0.25">
      <c r="A116" s="5" t="s">
        <v>22</v>
      </c>
      <c r="B116" s="5" t="s">
        <v>19</v>
      </c>
      <c r="C116" s="5">
        <v>200</v>
      </c>
      <c r="D116" s="5">
        <f>C116*0.2/200</f>
        <v>0.2</v>
      </c>
      <c r="E116" s="5">
        <f>C116*0.1/200</f>
        <v>0.1</v>
      </c>
      <c r="F116" s="5">
        <f>C116*9.3/200</f>
        <v>9.3000000000000007</v>
      </c>
      <c r="G116" s="5">
        <f>C116*38/200</f>
        <v>38</v>
      </c>
    </row>
    <row r="117" spans="1:664" x14ac:dyDescent="0.25">
      <c r="A117" s="5" t="s">
        <v>53</v>
      </c>
      <c r="B117" s="5" t="s">
        <v>54</v>
      </c>
      <c r="C117" s="5">
        <v>50</v>
      </c>
      <c r="D117" s="5">
        <f>C117*7.6/100</f>
        <v>3.8</v>
      </c>
      <c r="E117" s="5">
        <f>C117*0.8/100</f>
        <v>0.4</v>
      </c>
      <c r="F117" s="5">
        <f>C117*49.2/100</f>
        <v>24.6</v>
      </c>
      <c r="G117" s="5">
        <f>C117*234/100</f>
        <v>117</v>
      </c>
    </row>
    <row r="118" spans="1:664" s="13" customFormat="1" x14ac:dyDescent="0.25">
      <c r="A118" s="5" t="s">
        <v>15</v>
      </c>
      <c r="B118" s="5" t="s">
        <v>16</v>
      </c>
      <c r="C118" s="5">
        <v>50</v>
      </c>
      <c r="D118" s="5">
        <f>C118*8/100</f>
        <v>4</v>
      </c>
      <c r="E118" s="5">
        <f>C118*1.5/100</f>
        <v>0.75</v>
      </c>
      <c r="F118" s="5">
        <f>C118*40.1/100</f>
        <v>20.05</v>
      </c>
      <c r="G118" s="5">
        <f>C118*206/100</f>
        <v>103</v>
      </c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  <c r="EY118" s="9"/>
      <c r="EZ118" s="9"/>
      <c r="FA118" s="9"/>
      <c r="FB118" s="9"/>
      <c r="FC118" s="9"/>
      <c r="FD118" s="9"/>
      <c r="FE118" s="9"/>
      <c r="FF118" s="9"/>
      <c r="FG118" s="9"/>
      <c r="FH118" s="9"/>
      <c r="FI118" s="9"/>
      <c r="FJ118" s="9"/>
      <c r="FK118" s="9"/>
      <c r="FL118" s="9"/>
      <c r="FM118" s="9"/>
      <c r="FN118" s="9"/>
      <c r="FO118" s="9"/>
      <c r="FP118" s="9"/>
      <c r="FQ118" s="9"/>
      <c r="FR118" s="9"/>
      <c r="FS118" s="9"/>
      <c r="FT118" s="9"/>
      <c r="FU118" s="9"/>
      <c r="FV118" s="9"/>
      <c r="FW118" s="9"/>
      <c r="FX118" s="9"/>
      <c r="FY118" s="9"/>
      <c r="FZ118" s="9"/>
      <c r="GA118" s="9"/>
      <c r="GB118" s="9"/>
      <c r="GC118" s="9"/>
      <c r="GD118" s="9"/>
      <c r="GE118" s="9"/>
      <c r="GF118" s="9"/>
      <c r="GG118" s="9"/>
      <c r="GH118" s="9"/>
      <c r="GI118" s="9"/>
      <c r="GJ118" s="9"/>
      <c r="GK118" s="9"/>
      <c r="GL118" s="9"/>
      <c r="GM118" s="9"/>
      <c r="GN118" s="9"/>
      <c r="GO118" s="9"/>
      <c r="GP118" s="9"/>
      <c r="GQ118" s="9"/>
      <c r="GR118" s="9"/>
      <c r="GS118" s="9"/>
      <c r="GT118" s="9"/>
      <c r="GU118" s="9"/>
      <c r="GV118" s="9"/>
      <c r="GW118" s="9"/>
      <c r="GX118" s="9"/>
      <c r="GY118" s="9"/>
      <c r="GZ118" s="9"/>
      <c r="HA118" s="9"/>
      <c r="HB118" s="9"/>
      <c r="HC118" s="9"/>
      <c r="HD118" s="9"/>
      <c r="HE118" s="9"/>
      <c r="HF118" s="9"/>
      <c r="HG118" s="9"/>
      <c r="HH118" s="9"/>
      <c r="HI118" s="9"/>
      <c r="HJ118" s="9"/>
      <c r="HK118" s="9"/>
      <c r="HL118" s="9"/>
      <c r="HM118" s="9"/>
      <c r="HN118" s="9"/>
      <c r="HO118" s="9"/>
      <c r="HP118" s="9"/>
      <c r="HQ118" s="9"/>
      <c r="HR118" s="9"/>
      <c r="HS118" s="9"/>
      <c r="HT118" s="9"/>
      <c r="HU118" s="9"/>
      <c r="HV118" s="9"/>
      <c r="HW118" s="9"/>
      <c r="HX118" s="9"/>
      <c r="HY118" s="9"/>
      <c r="HZ118" s="9"/>
      <c r="IA118" s="9"/>
      <c r="IB118" s="9"/>
      <c r="IC118" s="9"/>
      <c r="ID118" s="9"/>
      <c r="IE118" s="9"/>
      <c r="IF118" s="9"/>
      <c r="IG118" s="9"/>
      <c r="IH118" s="9"/>
      <c r="II118" s="9"/>
      <c r="IJ118" s="9"/>
      <c r="IK118" s="9"/>
      <c r="IL118" s="9"/>
      <c r="IM118" s="9"/>
      <c r="IN118" s="9"/>
      <c r="IO118" s="9"/>
      <c r="IP118" s="9"/>
      <c r="IQ118" s="9"/>
      <c r="IR118" s="9"/>
      <c r="IS118" s="9"/>
      <c r="IT118" s="9"/>
      <c r="IU118" s="9"/>
      <c r="IV118" s="9"/>
      <c r="IW118" s="9"/>
      <c r="IX118" s="9"/>
      <c r="IY118" s="9"/>
      <c r="IZ118" s="9"/>
      <c r="JA118" s="9"/>
      <c r="JB118" s="9"/>
      <c r="JC118" s="9"/>
      <c r="JD118" s="9"/>
      <c r="JE118" s="9"/>
      <c r="JF118" s="9"/>
      <c r="JG118" s="9"/>
      <c r="JH118" s="9"/>
      <c r="JI118" s="9"/>
      <c r="JJ118" s="9"/>
      <c r="JK118" s="9"/>
      <c r="JL118" s="9"/>
      <c r="JM118" s="9"/>
      <c r="JN118" s="9"/>
      <c r="JO118" s="9"/>
      <c r="JP118" s="9"/>
      <c r="JQ118" s="9"/>
      <c r="JR118" s="9"/>
      <c r="JS118" s="9"/>
      <c r="JT118" s="9"/>
      <c r="JU118" s="9"/>
      <c r="JV118" s="9"/>
      <c r="JW118" s="9"/>
      <c r="JX118" s="9"/>
      <c r="JY118" s="9"/>
      <c r="JZ118" s="9"/>
      <c r="KA118" s="9"/>
      <c r="KB118" s="9"/>
      <c r="KC118" s="9"/>
      <c r="KD118" s="9"/>
      <c r="KE118" s="9"/>
      <c r="KF118" s="9"/>
      <c r="KG118" s="9"/>
      <c r="KH118" s="9"/>
      <c r="KI118" s="9"/>
      <c r="KJ118" s="9"/>
      <c r="KK118" s="9"/>
      <c r="KL118" s="9"/>
      <c r="KM118" s="9"/>
      <c r="KN118" s="9"/>
      <c r="KO118" s="9"/>
      <c r="KP118" s="9"/>
      <c r="KQ118" s="9"/>
      <c r="KR118" s="9"/>
      <c r="KS118" s="9"/>
      <c r="KT118" s="9"/>
      <c r="KU118" s="9"/>
      <c r="KV118" s="9"/>
      <c r="KW118" s="9"/>
      <c r="KX118" s="9"/>
      <c r="KY118" s="9"/>
      <c r="KZ118" s="9"/>
      <c r="LA118" s="9"/>
      <c r="LB118" s="9"/>
      <c r="LC118" s="9"/>
      <c r="LD118" s="9"/>
      <c r="LE118" s="9"/>
      <c r="LF118" s="9"/>
      <c r="LG118" s="9"/>
      <c r="LH118" s="9"/>
      <c r="LI118" s="9"/>
      <c r="LJ118" s="9"/>
      <c r="LK118" s="9"/>
      <c r="LL118" s="9"/>
      <c r="LM118" s="9"/>
      <c r="LN118" s="9"/>
      <c r="LO118" s="9"/>
      <c r="LP118" s="9"/>
      <c r="LQ118" s="9"/>
      <c r="LR118" s="9"/>
      <c r="LS118" s="9"/>
      <c r="LT118" s="9"/>
      <c r="LU118" s="9"/>
      <c r="LV118" s="9"/>
      <c r="LW118" s="9"/>
      <c r="LX118" s="9"/>
      <c r="LY118" s="9"/>
      <c r="LZ118" s="9"/>
      <c r="MA118" s="9"/>
      <c r="MB118" s="9"/>
      <c r="MC118" s="9"/>
      <c r="MD118" s="9"/>
      <c r="ME118" s="9"/>
      <c r="MF118" s="9"/>
      <c r="MG118" s="9"/>
      <c r="MH118" s="9"/>
      <c r="MI118" s="9"/>
      <c r="MJ118" s="9"/>
      <c r="MK118" s="9"/>
      <c r="ML118" s="9"/>
      <c r="MM118" s="9"/>
      <c r="MN118" s="9"/>
      <c r="MO118" s="9"/>
      <c r="MP118" s="9"/>
      <c r="MQ118" s="9"/>
      <c r="MR118" s="9"/>
      <c r="MS118" s="9"/>
      <c r="MT118" s="9"/>
      <c r="MU118" s="9"/>
      <c r="MV118" s="9"/>
      <c r="MW118" s="9"/>
      <c r="MX118" s="9"/>
      <c r="MY118" s="9"/>
      <c r="MZ118" s="9"/>
      <c r="NA118" s="9"/>
      <c r="NB118" s="9"/>
      <c r="NC118" s="9"/>
      <c r="ND118" s="9"/>
      <c r="NE118" s="9"/>
      <c r="NF118" s="9"/>
      <c r="NG118" s="9"/>
      <c r="NH118" s="9"/>
      <c r="NI118" s="9"/>
      <c r="NJ118" s="9"/>
      <c r="NK118" s="9"/>
      <c r="NL118" s="9"/>
      <c r="NM118" s="9"/>
      <c r="NN118" s="9"/>
      <c r="NO118" s="9"/>
      <c r="NP118" s="9"/>
      <c r="NQ118" s="9"/>
      <c r="NR118" s="9"/>
      <c r="NS118" s="9"/>
      <c r="NT118" s="9"/>
      <c r="NU118" s="9"/>
      <c r="NV118" s="9"/>
      <c r="NW118" s="9"/>
      <c r="NX118" s="9"/>
      <c r="NY118" s="9"/>
      <c r="NZ118" s="9"/>
      <c r="OA118" s="9"/>
      <c r="OB118" s="9"/>
      <c r="OC118" s="9"/>
      <c r="OD118" s="9"/>
      <c r="OE118" s="9"/>
      <c r="OF118" s="9"/>
      <c r="OG118" s="9"/>
      <c r="OH118" s="9"/>
      <c r="OI118" s="9"/>
      <c r="OJ118" s="9"/>
      <c r="OK118" s="9"/>
      <c r="OL118" s="9"/>
      <c r="OM118" s="9"/>
      <c r="ON118" s="9"/>
      <c r="OO118" s="9"/>
      <c r="OP118" s="9"/>
      <c r="OQ118" s="9"/>
      <c r="OR118" s="9"/>
      <c r="OS118" s="9"/>
      <c r="OT118" s="9"/>
      <c r="OU118" s="9"/>
      <c r="OV118" s="9"/>
      <c r="OW118" s="9"/>
      <c r="OX118" s="9"/>
      <c r="OY118" s="9"/>
      <c r="OZ118" s="9"/>
      <c r="PA118" s="9"/>
      <c r="PB118" s="9"/>
      <c r="PC118" s="9"/>
      <c r="PD118" s="9"/>
      <c r="PE118" s="9"/>
      <c r="PF118" s="9"/>
      <c r="PG118" s="9"/>
      <c r="PH118" s="9"/>
      <c r="PI118" s="9"/>
      <c r="PJ118" s="9"/>
      <c r="PK118" s="9"/>
      <c r="PL118" s="9"/>
      <c r="PM118" s="9"/>
      <c r="PN118" s="9"/>
      <c r="PO118" s="9"/>
      <c r="PP118" s="9"/>
      <c r="PQ118" s="9"/>
      <c r="PR118" s="9"/>
      <c r="PS118" s="9"/>
      <c r="PT118" s="9"/>
      <c r="PU118" s="9"/>
      <c r="PV118" s="9"/>
      <c r="PW118" s="9"/>
      <c r="PX118" s="9"/>
      <c r="PY118" s="9"/>
      <c r="PZ118" s="9"/>
      <c r="QA118" s="9"/>
      <c r="QB118" s="9"/>
      <c r="QC118" s="9"/>
      <c r="QD118" s="9"/>
      <c r="QE118" s="9"/>
      <c r="QF118" s="9"/>
      <c r="QG118" s="9"/>
      <c r="QH118" s="9"/>
      <c r="QI118" s="9"/>
      <c r="QJ118" s="9"/>
      <c r="QK118" s="9"/>
      <c r="QL118" s="9"/>
      <c r="QM118" s="9"/>
      <c r="QN118" s="9"/>
      <c r="QO118" s="9"/>
      <c r="QP118" s="9"/>
      <c r="QQ118" s="9"/>
      <c r="QR118" s="9"/>
      <c r="QS118" s="9"/>
      <c r="QT118" s="9"/>
      <c r="QU118" s="9"/>
      <c r="QV118" s="9"/>
      <c r="QW118" s="9"/>
      <c r="QX118" s="9"/>
      <c r="QY118" s="9"/>
      <c r="QZ118" s="9"/>
      <c r="RA118" s="9"/>
      <c r="RB118" s="9"/>
      <c r="RC118" s="9"/>
      <c r="RD118" s="9"/>
      <c r="RE118" s="9"/>
      <c r="RF118" s="9"/>
      <c r="RG118" s="9"/>
      <c r="RH118" s="9"/>
      <c r="RI118" s="9"/>
      <c r="RJ118" s="9"/>
      <c r="RK118" s="9"/>
      <c r="RL118" s="9"/>
      <c r="RM118" s="9"/>
      <c r="RN118" s="9"/>
      <c r="RO118" s="9"/>
      <c r="RP118" s="9"/>
      <c r="RQ118" s="9"/>
      <c r="RR118" s="9"/>
      <c r="RS118" s="9"/>
      <c r="RT118" s="9"/>
      <c r="RU118" s="9"/>
      <c r="RV118" s="9"/>
      <c r="RW118" s="9"/>
      <c r="RX118" s="9"/>
      <c r="RY118" s="9"/>
      <c r="RZ118" s="9"/>
      <c r="SA118" s="9"/>
      <c r="SB118" s="9"/>
      <c r="SC118" s="9"/>
      <c r="SD118" s="9"/>
      <c r="SE118" s="9"/>
      <c r="SF118" s="9"/>
      <c r="SG118" s="9"/>
      <c r="SH118" s="9"/>
      <c r="SI118" s="9"/>
      <c r="SJ118" s="9"/>
      <c r="SK118" s="9"/>
      <c r="SL118" s="9"/>
      <c r="SM118" s="9"/>
      <c r="SN118" s="9"/>
      <c r="SO118" s="9"/>
      <c r="SP118" s="9"/>
      <c r="SQ118" s="9"/>
      <c r="SR118" s="9"/>
      <c r="SS118" s="9"/>
      <c r="ST118" s="9"/>
      <c r="SU118" s="9"/>
      <c r="SV118" s="9"/>
      <c r="SW118" s="9"/>
      <c r="SX118" s="9"/>
      <c r="SY118" s="9"/>
      <c r="SZ118" s="9"/>
      <c r="TA118" s="9"/>
      <c r="TB118" s="9"/>
      <c r="TC118" s="9"/>
      <c r="TD118" s="9"/>
      <c r="TE118" s="9"/>
      <c r="TF118" s="9"/>
      <c r="TG118" s="9"/>
      <c r="TH118" s="9"/>
      <c r="TI118" s="9"/>
      <c r="TJ118" s="9"/>
      <c r="TK118" s="9"/>
      <c r="TL118" s="9"/>
      <c r="TM118" s="9"/>
      <c r="TN118" s="9"/>
      <c r="TO118" s="9"/>
      <c r="TP118" s="9"/>
      <c r="TQ118" s="9"/>
      <c r="TR118" s="9"/>
      <c r="TS118" s="9"/>
      <c r="TT118" s="9"/>
      <c r="TU118" s="9"/>
      <c r="TV118" s="9"/>
      <c r="TW118" s="9"/>
      <c r="TX118" s="9"/>
      <c r="TY118" s="9"/>
      <c r="TZ118" s="9"/>
      <c r="UA118" s="9"/>
      <c r="UB118" s="9"/>
      <c r="UC118" s="9"/>
      <c r="UD118" s="9"/>
      <c r="UE118" s="9"/>
      <c r="UF118" s="9"/>
      <c r="UG118" s="9"/>
      <c r="UH118" s="9"/>
      <c r="UI118" s="9"/>
      <c r="UJ118" s="9"/>
      <c r="UK118" s="9"/>
      <c r="UL118" s="9"/>
      <c r="UM118" s="9"/>
      <c r="UN118" s="9"/>
      <c r="UO118" s="9"/>
      <c r="UP118" s="9"/>
      <c r="UQ118" s="9"/>
      <c r="UR118" s="9"/>
      <c r="US118" s="9"/>
      <c r="UT118" s="9"/>
      <c r="UU118" s="9"/>
      <c r="UV118" s="9"/>
      <c r="UW118" s="9"/>
      <c r="UX118" s="9"/>
      <c r="UY118" s="9"/>
      <c r="UZ118" s="9"/>
      <c r="VA118" s="9"/>
      <c r="VB118" s="9"/>
      <c r="VC118" s="9"/>
      <c r="VD118" s="9"/>
      <c r="VE118" s="9"/>
      <c r="VF118" s="9"/>
      <c r="VG118" s="9"/>
      <c r="VH118" s="9"/>
      <c r="VI118" s="9"/>
      <c r="VJ118" s="9"/>
      <c r="VK118" s="9"/>
      <c r="VL118" s="9"/>
      <c r="VM118" s="9"/>
      <c r="VN118" s="9"/>
      <c r="VO118" s="9"/>
      <c r="VP118" s="9"/>
      <c r="VQ118" s="9"/>
      <c r="VR118" s="9"/>
      <c r="VS118" s="9"/>
      <c r="VT118" s="9"/>
      <c r="VU118" s="9"/>
      <c r="VV118" s="9"/>
      <c r="VW118" s="9"/>
      <c r="VX118" s="9"/>
      <c r="VY118" s="9"/>
      <c r="VZ118" s="9"/>
      <c r="WA118" s="9"/>
      <c r="WB118" s="9"/>
      <c r="WC118" s="9"/>
      <c r="WD118" s="9"/>
      <c r="WE118" s="9"/>
      <c r="WF118" s="9"/>
      <c r="WG118" s="9"/>
      <c r="WH118" s="9"/>
      <c r="WI118" s="9"/>
      <c r="WJ118" s="9"/>
      <c r="WK118" s="9"/>
      <c r="WL118" s="9"/>
      <c r="WM118" s="9"/>
      <c r="WN118" s="9"/>
      <c r="WO118" s="9"/>
      <c r="WP118" s="9"/>
      <c r="WQ118" s="9"/>
      <c r="WR118" s="9"/>
      <c r="WS118" s="9"/>
      <c r="WT118" s="9"/>
      <c r="WU118" s="9"/>
      <c r="WV118" s="9"/>
      <c r="WW118" s="9"/>
      <c r="WX118" s="9"/>
      <c r="WY118" s="9"/>
      <c r="WZ118" s="9"/>
      <c r="XA118" s="9"/>
      <c r="XB118" s="9"/>
      <c r="XC118" s="9"/>
      <c r="XD118" s="9"/>
      <c r="XE118" s="9"/>
      <c r="XF118" s="9"/>
      <c r="XG118" s="9"/>
      <c r="XH118" s="9"/>
      <c r="XI118" s="9"/>
      <c r="XJ118" s="9"/>
      <c r="XK118" s="9"/>
      <c r="XL118" s="9"/>
      <c r="XM118" s="9"/>
      <c r="XN118" s="9"/>
      <c r="XO118" s="9"/>
      <c r="XP118" s="9"/>
      <c r="XQ118" s="9"/>
      <c r="XR118" s="9"/>
      <c r="XS118" s="9"/>
      <c r="XT118" s="9"/>
      <c r="XU118" s="9"/>
      <c r="XV118" s="9"/>
      <c r="XW118" s="9"/>
      <c r="XX118" s="9"/>
      <c r="XY118" s="9"/>
      <c r="XZ118" s="9"/>
      <c r="YA118" s="9"/>
      <c r="YB118" s="9"/>
      <c r="YC118" s="9"/>
      <c r="YD118" s="9"/>
      <c r="YE118" s="9"/>
      <c r="YF118" s="9"/>
      <c r="YG118" s="9"/>
      <c r="YH118" s="9"/>
      <c r="YI118" s="9"/>
      <c r="YJ118" s="9"/>
      <c r="YK118" s="9"/>
      <c r="YL118" s="9"/>
      <c r="YM118" s="9"/>
      <c r="YN118" s="9"/>
    </row>
    <row r="119" spans="1:664" x14ac:dyDescent="0.25">
      <c r="A119" s="40" t="s">
        <v>17</v>
      </c>
      <c r="B119" s="41"/>
      <c r="C119" s="5">
        <f>SUM(C111:C118)</f>
        <v>960</v>
      </c>
      <c r="D119" s="5">
        <f>SUM(D111:D118)</f>
        <v>30.67</v>
      </c>
      <c r="E119" s="5">
        <f>SUM(E111:E118)</f>
        <v>34.396999999999998</v>
      </c>
      <c r="F119" s="5">
        <f>SUM(F111:F118)</f>
        <v>113.11499999999999</v>
      </c>
      <c r="G119" s="5">
        <f>SUM(G111:G118)</f>
        <v>882.72</v>
      </c>
    </row>
    <row r="120" spans="1:664" x14ac:dyDescent="0.25">
      <c r="A120" s="19"/>
      <c r="B120" s="19"/>
      <c r="C120" s="19"/>
      <c r="D120" s="19"/>
      <c r="E120" s="19"/>
      <c r="F120" s="19"/>
      <c r="G120" s="19"/>
    </row>
    <row r="121" spans="1:664" x14ac:dyDescent="0.25">
      <c r="A121" s="20"/>
      <c r="B121" s="8"/>
      <c r="C121" s="8"/>
      <c r="D121" s="8"/>
      <c r="E121" s="8"/>
      <c r="F121" s="8"/>
      <c r="G121" s="8"/>
    </row>
    <row r="122" spans="1:664" x14ac:dyDescent="0.25">
      <c r="A122" s="40" t="s">
        <v>67</v>
      </c>
      <c r="B122" s="41"/>
      <c r="C122" s="5">
        <f>C105+C119</f>
        <v>1510</v>
      </c>
      <c r="D122" s="5">
        <f>D105+D119</f>
        <v>42.856062717770037</v>
      </c>
      <c r="E122" s="5">
        <f>E105+E119</f>
        <v>73.974351916376307</v>
      </c>
      <c r="F122" s="5">
        <f>F105+F119</f>
        <v>196.23033101045297</v>
      </c>
      <c r="G122" s="5">
        <f>G105+G119</f>
        <v>1621.0335888501743</v>
      </c>
    </row>
    <row r="123" spans="1:664" x14ac:dyDescent="0.25">
      <c r="A123" s="27"/>
      <c r="B123" s="27"/>
      <c r="C123" s="21"/>
      <c r="D123" s="21"/>
      <c r="E123" s="21"/>
      <c r="F123" s="21"/>
      <c r="G123" s="21"/>
    </row>
    <row r="124" spans="1:664" x14ac:dyDescent="0.25">
      <c r="A124" s="8"/>
      <c r="B124" s="8"/>
      <c r="C124" s="8"/>
      <c r="D124" s="8"/>
      <c r="E124" s="8"/>
      <c r="F124" s="8"/>
      <c r="G124" s="8"/>
    </row>
    <row r="125" spans="1:664" x14ac:dyDescent="0.25">
      <c r="A125" s="8"/>
      <c r="B125" s="8"/>
      <c r="C125" s="8"/>
      <c r="D125" s="8"/>
      <c r="E125" s="8"/>
      <c r="F125" s="8"/>
      <c r="G125" s="8"/>
    </row>
    <row r="126" spans="1:664" x14ac:dyDescent="0.25">
      <c r="A126" s="8"/>
      <c r="B126" s="8"/>
      <c r="C126" s="8"/>
      <c r="D126" s="8"/>
      <c r="E126" s="8"/>
      <c r="F126" s="8"/>
      <c r="G126" s="8"/>
    </row>
    <row r="127" spans="1:664" x14ac:dyDescent="0.25">
      <c r="A127" s="8"/>
      <c r="B127" s="8"/>
      <c r="C127" s="8"/>
      <c r="D127" s="8"/>
      <c r="E127" s="8"/>
      <c r="F127" s="8"/>
      <c r="G127" s="8"/>
    </row>
    <row r="128" spans="1:664" x14ac:dyDescent="0.25">
      <c r="A128" s="8"/>
      <c r="B128" s="8"/>
      <c r="C128" s="8"/>
      <c r="D128" s="8"/>
      <c r="E128" s="8"/>
      <c r="F128" s="8"/>
      <c r="G128" s="8"/>
    </row>
    <row r="129" spans="1:7" x14ac:dyDescent="0.25">
      <c r="A129" s="2" t="s">
        <v>35</v>
      </c>
      <c r="B129" s="16"/>
      <c r="C129" s="16"/>
      <c r="D129" s="16"/>
      <c r="E129" s="16"/>
      <c r="F129" s="16"/>
      <c r="G129" s="16"/>
    </row>
    <row r="130" spans="1:7" ht="15.75" thickBot="1" x14ac:dyDescent="0.3">
      <c r="A130" s="17" t="s">
        <v>69</v>
      </c>
      <c r="B130" s="2"/>
      <c r="C130" s="2"/>
      <c r="D130" s="2"/>
      <c r="E130" s="2"/>
      <c r="F130" s="2"/>
      <c r="G130" s="2"/>
    </row>
    <row r="131" spans="1:7" ht="15.75" thickBot="1" x14ac:dyDescent="0.3">
      <c r="A131" s="42" t="s">
        <v>0</v>
      </c>
      <c r="B131" s="42" t="s">
        <v>1</v>
      </c>
      <c r="C131" s="1" t="s">
        <v>2</v>
      </c>
      <c r="D131" s="44" t="s">
        <v>4</v>
      </c>
      <c r="E131" s="45"/>
      <c r="F131" s="45"/>
      <c r="G131" s="46"/>
    </row>
    <row r="132" spans="1:7" ht="26.25" x14ac:dyDescent="0.25">
      <c r="A132" s="43"/>
      <c r="B132" s="43"/>
      <c r="C132" s="4" t="s">
        <v>3</v>
      </c>
      <c r="D132" s="4" t="s">
        <v>5</v>
      </c>
      <c r="E132" s="4" t="s">
        <v>6</v>
      </c>
      <c r="F132" s="4" t="s">
        <v>7</v>
      </c>
      <c r="G132" s="4" t="s">
        <v>8</v>
      </c>
    </row>
    <row r="133" spans="1:7" x14ac:dyDescent="0.25">
      <c r="A133" s="5" t="s">
        <v>91</v>
      </c>
      <c r="B133" s="7" t="s">
        <v>92</v>
      </c>
      <c r="C133" s="5">
        <v>250</v>
      </c>
      <c r="D133" s="5">
        <f>C133*29.6/1025</f>
        <v>7.2195121951219514</v>
      </c>
      <c r="E133" s="5">
        <f>C133*32.6/1025</f>
        <v>7.9512195121951219</v>
      </c>
      <c r="F133" s="5">
        <f>C133*184.3/1025</f>
        <v>44.951219512195124</v>
      </c>
      <c r="G133" s="5">
        <f>C133*1149/1025</f>
        <v>280.2439024390244</v>
      </c>
    </row>
    <row r="134" spans="1:7" x14ac:dyDescent="0.25">
      <c r="A134" s="5" t="s">
        <v>87</v>
      </c>
      <c r="B134" s="5" t="s">
        <v>88</v>
      </c>
      <c r="C134" s="5">
        <v>100</v>
      </c>
      <c r="D134" s="5">
        <f>C134*6.9/45</f>
        <v>15.333333333333334</v>
      </c>
      <c r="E134" s="5">
        <f>C134*9/45</f>
        <v>20</v>
      </c>
      <c r="F134" s="5">
        <f>C134*10/45</f>
        <v>22.222222222222221</v>
      </c>
      <c r="G134" s="5">
        <f>C134*149/45</f>
        <v>331.11111111111109</v>
      </c>
    </row>
    <row r="135" spans="1:7" x14ac:dyDescent="0.25">
      <c r="A135" s="5" t="s">
        <v>75</v>
      </c>
      <c r="B135" s="5" t="s">
        <v>76</v>
      </c>
      <c r="C135" s="5">
        <v>200</v>
      </c>
      <c r="D135" s="5">
        <f>C135*3.3/200</f>
        <v>3.3</v>
      </c>
      <c r="E135" s="5">
        <f>C135*2.9/200</f>
        <v>2.9</v>
      </c>
      <c r="F135" s="5">
        <f>C135*13.8/200</f>
        <v>13.8</v>
      </c>
      <c r="G135" s="5">
        <f>C135*94/200</f>
        <v>94</v>
      </c>
    </row>
    <row r="136" spans="1:7" x14ac:dyDescent="0.25">
      <c r="A136" s="40" t="s">
        <v>70</v>
      </c>
      <c r="B136" s="41"/>
      <c r="C136" s="5">
        <f>SUM(C133:C135)</f>
        <v>550</v>
      </c>
      <c r="D136" s="5">
        <f>SUM(D133:D135)</f>
        <v>25.852845528455287</v>
      </c>
      <c r="E136" s="5">
        <f>SUM(E133:E135)</f>
        <v>30.851219512195122</v>
      </c>
      <c r="F136" s="5">
        <f>SUM(F133:F135)</f>
        <v>80.973441734417335</v>
      </c>
      <c r="G136" s="5">
        <f>SUM(G133:G135)</f>
        <v>705.35501355013548</v>
      </c>
    </row>
    <row r="137" spans="1:7" x14ac:dyDescent="0.25">
      <c r="A137" s="19"/>
      <c r="B137" s="19"/>
      <c r="C137" s="19"/>
      <c r="D137" s="19"/>
      <c r="E137" s="19"/>
      <c r="F137" s="19"/>
      <c r="G137" s="19"/>
    </row>
    <row r="138" spans="1:7" x14ac:dyDescent="0.25">
      <c r="A138" s="20"/>
      <c r="B138" s="8"/>
      <c r="C138" s="8"/>
      <c r="D138" s="8"/>
      <c r="E138" s="8"/>
      <c r="F138" s="8"/>
      <c r="G138" s="8"/>
    </row>
    <row r="139" spans="1:7" ht="15.75" thickBot="1" x14ac:dyDescent="0.3">
      <c r="A139" s="6" t="s">
        <v>10</v>
      </c>
      <c r="B139" s="16"/>
      <c r="C139" s="16"/>
      <c r="D139" s="16"/>
      <c r="E139" s="16"/>
      <c r="F139" s="16"/>
      <c r="G139" s="16"/>
    </row>
    <row r="140" spans="1:7" ht="15.75" thickBot="1" x14ac:dyDescent="0.3">
      <c r="A140" s="42" t="s">
        <v>0</v>
      </c>
      <c r="B140" s="42" t="s">
        <v>1</v>
      </c>
      <c r="C140" s="1" t="s">
        <v>2</v>
      </c>
      <c r="D140" s="44" t="s">
        <v>4</v>
      </c>
      <c r="E140" s="45"/>
      <c r="F140" s="45"/>
      <c r="G140" s="46"/>
    </row>
    <row r="141" spans="1:7" ht="26.25" x14ac:dyDescent="0.25">
      <c r="A141" s="43"/>
      <c r="B141" s="43"/>
      <c r="C141" s="4" t="s">
        <v>3</v>
      </c>
      <c r="D141" s="4" t="s">
        <v>5</v>
      </c>
      <c r="E141" s="4" t="s">
        <v>6</v>
      </c>
      <c r="F141" s="4" t="s">
        <v>7</v>
      </c>
      <c r="G141" s="4" t="s">
        <v>8</v>
      </c>
    </row>
    <row r="142" spans="1:7" x14ac:dyDescent="0.25">
      <c r="A142" s="5" t="s">
        <v>63</v>
      </c>
      <c r="B142" s="5" t="s">
        <v>64</v>
      </c>
      <c r="C142" s="5">
        <v>100</v>
      </c>
      <c r="D142" s="5">
        <f>C142*0.7/100</f>
        <v>0.7</v>
      </c>
      <c r="E142" s="5">
        <f>C142*6/100</f>
        <v>6</v>
      </c>
      <c r="F142" s="5">
        <f>C142*1.8/100</f>
        <v>1.8</v>
      </c>
      <c r="G142" s="5">
        <f>C142*64/100</f>
        <v>64</v>
      </c>
    </row>
    <row r="143" spans="1:7" x14ac:dyDescent="0.25">
      <c r="A143" s="5" t="s">
        <v>52</v>
      </c>
      <c r="B143" s="5" t="s">
        <v>51</v>
      </c>
      <c r="C143" s="5">
        <v>250</v>
      </c>
      <c r="D143" s="5">
        <f>C143*9.3/1000</f>
        <v>2.3250000000000002</v>
      </c>
      <c r="E143" s="5">
        <f>C143*18.9/1000</f>
        <v>4.7249999999999996</v>
      </c>
      <c r="F143" s="5">
        <f>C143*41.3/1000</f>
        <v>10.324999999999999</v>
      </c>
      <c r="G143" s="5">
        <f>C143*373/1000</f>
        <v>93.25</v>
      </c>
    </row>
    <row r="144" spans="1:7" x14ac:dyDescent="0.25">
      <c r="A144" s="5" t="s">
        <v>127</v>
      </c>
      <c r="B144" s="5" t="s">
        <v>128</v>
      </c>
      <c r="C144" s="5">
        <v>100</v>
      </c>
      <c r="D144" s="5">
        <v>11</v>
      </c>
      <c r="E144" s="5">
        <v>12.4</v>
      </c>
      <c r="F144" s="5">
        <f>C144*7.6/100</f>
        <v>7.6</v>
      </c>
      <c r="G144" s="5">
        <v>173</v>
      </c>
    </row>
    <row r="145" spans="1:7" x14ac:dyDescent="0.25">
      <c r="A145" s="5" t="s">
        <v>57</v>
      </c>
      <c r="B145" s="5" t="s">
        <v>58</v>
      </c>
      <c r="C145" s="5">
        <v>200</v>
      </c>
      <c r="D145" s="5">
        <f>C145*25.1/1000</f>
        <v>5.0199999999999996</v>
      </c>
      <c r="E145" s="5">
        <f>C145*36.2/1000</f>
        <v>7.2400000000000011</v>
      </c>
      <c r="F145" s="5">
        <f>C145*259/1000</f>
        <v>51.8</v>
      </c>
      <c r="G145" s="5">
        <f>C145*1462/1000</f>
        <v>292.39999999999998</v>
      </c>
    </row>
    <row r="146" spans="1:7" x14ac:dyDescent="0.25">
      <c r="A146" s="5" t="s">
        <v>13</v>
      </c>
      <c r="B146" s="5" t="s">
        <v>14</v>
      </c>
      <c r="C146" s="5">
        <v>200</v>
      </c>
      <c r="D146" s="5">
        <v>0.6</v>
      </c>
      <c r="E146" s="5">
        <v>0.1</v>
      </c>
      <c r="F146" s="5">
        <v>20.100000000000001</v>
      </c>
      <c r="G146" s="5">
        <v>84</v>
      </c>
    </row>
    <row r="147" spans="1:7" x14ac:dyDescent="0.25">
      <c r="A147" s="5" t="s">
        <v>53</v>
      </c>
      <c r="B147" s="5" t="s">
        <v>54</v>
      </c>
      <c r="C147" s="5">
        <v>50</v>
      </c>
      <c r="D147" s="5">
        <f>C147*7.6/100</f>
        <v>3.8</v>
      </c>
      <c r="E147" s="5">
        <f>C147*0.8/100</f>
        <v>0.4</v>
      </c>
      <c r="F147" s="5">
        <f>C147*49.2/100</f>
        <v>24.6</v>
      </c>
      <c r="G147" s="5">
        <f>C147*234/100</f>
        <v>117</v>
      </c>
    </row>
    <row r="148" spans="1:7" x14ac:dyDescent="0.25">
      <c r="A148" s="5" t="s">
        <v>15</v>
      </c>
      <c r="B148" s="5" t="s">
        <v>16</v>
      </c>
      <c r="C148" s="5">
        <v>50</v>
      </c>
      <c r="D148" s="5">
        <f>C148*8/100</f>
        <v>4</v>
      </c>
      <c r="E148" s="5">
        <f>C148*1.5/100</f>
        <v>0.75</v>
      </c>
      <c r="F148" s="5">
        <f>C148*40.1/100</f>
        <v>20.05</v>
      </c>
      <c r="G148" s="5">
        <f>C148*206/100</f>
        <v>103</v>
      </c>
    </row>
    <row r="149" spans="1:7" x14ac:dyDescent="0.25">
      <c r="A149" s="40" t="s">
        <v>17</v>
      </c>
      <c r="B149" s="41"/>
      <c r="C149" s="5">
        <f>SUM(C142:C148)</f>
        <v>950</v>
      </c>
      <c r="D149" s="5">
        <f>SUM(D142:D148)</f>
        <v>27.445000000000004</v>
      </c>
      <c r="E149" s="5">
        <f>SUM(E142:E148)</f>
        <v>31.615000000000002</v>
      </c>
      <c r="F149" s="5">
        <f>SUM(F142:F148)</f>
        <v>136.27500000000001</v>
      </c>
      <c r="G149" s="5">
        <f>SUM(G142:G148)</f>
        <v>926.65</v>
      </c>
    </row>
    <row r="150" spans="1:7" x14ac:dyDescent="0.25">
      <c r="A150" s="48"/>
      <c r="B150" s="48"/>
      <c r="C150" s="8"/>
      <c r="D150" s="8"/>
      <c r="E150" s="8"/>
      <c r="F150" s="8"/>
      <c r="G150" s="8"/>
    </row>
    <row r="151" spans="1:7" x14ac:dyDescent="0.25">
      <c r="A151" s="9"/>
      <c r="B151" s="9"/>
      <c r="C151" s="9"/>
      <c r="D151" s="9"/>
      <c r="E151" s="9"/>
      <c r="F151" s="9"/>
      <c r="G151" s="9"/>
    </row>
    <row r="152" spans="1:7" x14ac:dyDescent="0.25">
      <c r="A152" s="40" t="s">
        <v>67</v>
      </c>
      <c r="B152" s="41"/>
      <c r="C152" s="5">
        <f>C136+C149</f>
        <v>1500</v>
      </c>
      <c r="D152" s="5">
        <f>D136+D149</f>
        <v>53.297845528455291</v>
      </c>
      <c r="E152" s="5">
        <f>E136+E149</f>
        <v>62.466219512195124</v>
      </c>
      <c r="F152" s="5">
        <f>F136+F149</f>
        <v>217.24844173441733</v>
      </c>
      <c r="G152" s="5">
        <f>G136+G149</f>
        <v>1632.0050135501356</v>
      </c>
    </row>
    <row r="153" spans="1:7" x14ac:dyDescent="0.25">
      <c r="A153" s="20"/>
      <c r="B153" s="8"/>
      <c r="C153" s="8"/>
      <c r="D153" s="8"/>
      <c r="E153" s="8"/>
      <c r="F153" s="8"/>
      <c r="G153" s="8"/>
    </row>
    <row r="154" spans="1:7" x14ac:dyDescent="0.25">
      <c r="A154" s="49"/>
      <c r="B154" s="49"/>
      <c r="C154" s="21"/>
      <c r="D154" s="49"/>
      <c r="E154" s="49"/>
      <c r="F154" s="49"/>
      <c r="G154" s="49"/>
    </row>
    <row r="155" spans="1:7" x14ac:dyDescent="0.25">
      <c r="A155" s="49"/>
      <c r="B155" s="49"/>
      <c r="C155" s="21"/>
      <c r="D155" s="21"/>
      <c r="E155" s="21"/>
      <c r="F155" s="21"/>
      <c r="G155" s="21"/>
    </row>
    <row r="156" spans="1:7" x14ac:dyDescent="0.25">
      <c r="A156" s="8"/>
      <c r="B156" s="8"/>
      <c r="C156" s="8"/>
      <c r="D156" s="8"/>
      <c r="E156" s="8"/>
      <c r="F156" s="8"/>
      <c r="G156" s="8"/>
    </row>
    <row r="157" spans="1:7" x14ac:dyDescent="0.25">
      <c r="A157" s="8"/>
      <c r="B157" s="8"/>
      <c r="C157" s="8"/>
      <c r="D157" s="8"/>
      <c r="E157" s="8"/>
      <c r="F157" s="8"/>
      <c r="G157" s="8"/>
    </row>
    <row r="158" spans="1:7" x14ac:dyDescent="0.25">
      <c r="A158" s="8"/>
      <c r="B158" s="22"/>
      <c r="C158" s="8"/>
      <c r="D158" s="8"/>
      <c r="E158" s="8"/>
      <c r="F158" s="8"/>
      <c r="G158" s="8"/>
    </row>
    <row r="159" spans="1:7" x14ac:dyDescent="0.25">
      <c r="A159" s="8"/>
      <c r="B159" s="8"/>
      <c r="C159" s="8"/>
      <c r="D159" s="8"/>
      <c r="E159" s="8"/>
      <c r="F159" s="8"/>
      <c r="G159" s="8"/>
    </row>
    <row r="160" spans="1:7" x14ac:dyDescent="0.25">
      <c r="A160" s="2" t="s">
        <v>40</v>
      </c>
      <c r="B160" s="16"/>
      <c r="C160" s="16"/>
      <c r="D160" s="16"/>
      <c r="E160" s="16"/>
      <c r="F160" s="16"/>
      <c r="G160" s="16"/>
    </row>
    <row r="161" spans="1:7" ht="15.75" thickBot="1" x14ac:dyDescent="0.3">
      <c r="A161" s="17" t="s">
        <v>69</v>
      </c>
      <c r="B161" s="2"/>
      <c r="C161" s="2"/>
      <c r="D161" s="2"/>
      <c r="E161" s="2"/>
      <c r="F161" s="2"/>
      <c r="G161" s="2"/>
    </row>
    <row r="162" spans="1:7" ht="15.75" thickBot="1" x14ac:dyDescent="0.3">
      <c r="A162" s="42" t="s">
        <v>0</v>
      </c>
      <c r="B162" s="42" t="s">
        <v>1</v>
      </c>
      <c r="C162" s="1" t="s">
        <v>2</v>
      </c>
      <c r="D162" s="44" t="s">
        <v>4</v>
      </c>
      <c r="E162" s="45"/>
      <c r="F162" s="45"/>
      <c r="G162" s="46"/>
    </row>
    <row r="163" spans="1:7" ht="26.25" x14ac:dyDescent="0.25">
      <c r="A163" s="43"/>
      <c r="B163" s="43"/>
      <c r="C163" s="4" t="s">
        <v>3</v>
      </c>
      <c r="D163" s="4" t="s">
        <v>5</v>
      </c>
      <c r="E163" s="4" t="s">
        <v>6</v>
      </c>
      <c r="F163" s="4" t="s">
        <v>7</v>
      </c>
      <c r="G163" s="4" t="s">
        <v>8</v>
      </c>
    </row>
    <row r="164" spans="1:7" x14ac:dyDescent="0.25">
      <c r="A164" s="5" t="s">
        <v>93</v>
      </c>
      <c r="B164" s="7" t="s">
        <v>94</v>
      </c>
      <c r="C164" s="5">
        <v>250</v>
      </c>
      <c r="D164" s="5">
        <f>C164*31.1/1025</f>
        <v>7.5853658536585362</v>
      </c>
      <c r="E164" s="5">
        <f>C164*33/1025</f>
        <v>8.0487804878048781</v>
      </c>
      <c r="F164" s="5">
        <f>C164*156.2/1025</f>
        <v>38.097560975609753</v>
      </c>
      <c r="G164" s="5">
        <f>C164*1045/1025</f>
        <v>254.8780487804878</v>
      </c>
    </row>
    <row r="165" spans="1:7" x14ac:dyDescent="0.25">
      <c r="A165" s="5" t="s">
        <v>73</v>
      </c>
      <c r="B165" s="5" t="s">
        <v>74</v>
      </c>
      <c r="C165" s="5">
        <v>100</v>
      </c>
      <c r="D165" s="5">
        <f>C165*1.6/35</f>
        <v>4.5714285714285712</v>
      </c>
      <c r="E165" s="5">
        <f>C165*11/35</f>
        <v>31.428571428571427</v>
      </c>
      <c r="F165" s="5">
        <f>C165*10/35</f>
        <v>28.571428571428573</v>
      </c>
      <c r="G165" s="5">
        <f>C165*146/35</f>
        <v>417.14285714285717</v>
      </c>
    </row>
    <row r="166" spans="1:7" x14ac:dyDescent="0.25">
      <c r="A166" s="5" t="s">
        <v>75</v>
      </c>
      <c r="B166" s="5" t="s">
        <v>76</v>
      </c>
      <c r="C166" s="5">
        <v>200</v>
      </c>
      <c r="D166" s="5">
        <f>C166*3.3/200</f>
        <v>3.3</v>
      </c>
      <c r="E166" s="5">
        <f>C166*2.9/200</f>
        <v>2.9</v>
      </c>
      <c r="F166" s="5">
        <f>C166*13.8/200</f>
        <v>13.8</v>
      </c>
      <c r="G166" s="5">
        <f>C166*94/200</f>
        <v>94</v>
      </c>
    </row>
    <row r="167" spans="1:7" x14ac:dyDescent="0.25">
      <c r="A167" s="40" t="s">
        <v>70</v>
      </c>
      <c r="B167" s="41"/>
      <c r="C167" s="5">
        <f>SUM(C164:C166)</f>
        <v>550</v>
      </c>
      <c r="D167" s="5">
        <f>SUM(D164:D166)</f>
        <v>15.456794425087107</v>
      </c>
      <c r="E167" s="5">
        <f>SUM(E164:E166)</f>
        <v>42.377351916376305</v>
      </c>
      <c r="F167" s="5">
        <f>SUM(F164:F166)</f>
        <v>80.468989547038319</v>
      </c>
      <c r="G167" s="5">
        <f>SUM(G164:G166)</f>
        <v>766.02090592334503</v>
      </c>
    </row>
    <row r="170" spans="1:7" ht="15.75" thickBot="1" x14ac:dyDescent="0.3">
      <c r="A170" s="6" t="s">
        <v>10</v>
      </c>
      <c r="B170" s="16"/>
      <c r="C170" s="16"/>
      <c r="D170" s="16"/>
      <c r="E170" s="16"/>
      <c r="F170" s="16"/>
      <c r="G170" s="16"/>
    </row>
    <row r="171" spans="1:7" ht="15.75" thickBot="1" x14ac:dyDescent="0.3">
      <c r="A171" s="42" t="s">
        <v>0</v>
      </c>
      <c r="B171" s="42" t="s">
        <v>1</v>
      </c>
      <c r="C171" s="1" t="s">
        <v>2</v>
      </c>
      <c r="D171" s="44" t="s">
        <v>4</v>
      </c>
      <c r="E171" s="45"/>
      <c r="F171" s="45"/>
      <c r="G171" s="46"/>
    </row>
    <row r="172" spans="1:7" ht="26.25" x14ac:dyDescent="0.25">
      <c r="A172" s="43"/>
      <c r="B172" s="43"/>
      <c r="C172" s="4" t="s">
        <v>3</v>
      </c>
      <c r="D172" s="4" t="s">
        <v>5</v>
      </c>
      <c r="E172" s="4" t="s">
        <v>6</v>
      </c>
      <c r="F172" s="4" t="s">
        <v>7</v>
      </c>
      <c r="G172" s="4" t="s">
        <v>8</v>
      </c>
    </row>
    <row r="173" spans="1:7" ht="30" x14ac:dyDescent="0.25">
      <c r="A173" s="5" t="s">
        <v>146</v>
      </c>
      <c r="B173" s="7" t="s">
        <v>147</v>
      </c>
      <c r="C173" s="5">
        <v>100</v>
      </c>
      <c r="D173" s="5">
        <v>1</v>
      </c>
      <c r="E173" s="5">
        <v>6</v>
      </c>
      <c r="F173" s="5">
        <v>3.1</v>
      </c>
      <c r="G173" s="5">
        <v>70</v>
      </c>
    </row>
    <row r="174" spans="1:7" ht="30" x14ac:dyDescent="0.25">
      <c r="A174" s="34" t="s">
        <v>26</v>
      </c>
      <c r="B174" s="7" t="s">
        <v>27</v>
      </c>
      <c r="C174" s="34">
        <v>250</v>
      </c>
      <c r="D174" s="34">
        <v>2.9</v>
      </c>
      <c r="E174" s="34">
        <v>4.1500000000000004</v>
      </c>
      <c r="F174" s="34">
        <v>12.2</v>
      </c>
      <c r="G174" s="34">
        <v>97.75</v>
      </c>
    </row>
    <row r="175" spans="1:7" x14ac:dyDescent="0.25">
      <c r="A175" s="5" t="s">
        <v>28</v>
      </c>
      <c r="B175" s="5" t="s">
        <v>29</v>
      </c>
      <c r="C175" s="5">
        <v>250</v>
      </c>
      <c r="D175" s="5">
        <f>C175*21/200</f>
        <v>26.25</v>
      </c>
      <c r="E175" s="5">
        <f>C175*19/200</f>
        <v>23.75</v>
      </c>
      <c r="F175" s="5">
        <f>C175*15.9/200</f>
        <v>19.875</v>
      </c>
      <c r="G175" s="5">
        <f>C175*319/200</f>
        <v>398.75</v>
      </c>
    </row>
    <row r="176" spans="1:7" x14ac:dyDescent="0.25">
      <c r="A176" s="5" t="s">
        <v>22</v>
      </c>
      <c r="B176" s="5" t="s">
        <v>19</v>
      </c>
      <c r="C176" s="5">
        <v>200</v>
      </c>
      <c r="D176" s="5">
        <f>C176*0.2/200</f>
        <v>0.2</v>
      </c>
      <c r="E176" s="5">
        <f>C176*0.1/200</f>
        <v>0.1</v>
      </c>
      <c r="F176" s="5">
        <f>C176*9.3/200</f>
        <v>9.3000000000000007</v>
      </c>
      <c r="G176" s="5">
        <f>C176*38/200</f>
        <v>38</v>
      </c>
    </row>
    <row r="177" spans="1:7" x14ac:dyDescent="0.25">
      <c r="A177" s="5" t="s">
        <v>53</v>
      </c>
      <c r="B177" s="5" t="s">
        <v>54</v>
      </c>
      <c r="C177" s="5">
        <v>50</v>
      </c>
      <c r="D177" s="5">
        <f>C177*7.6/100</f>
        <v>3.8</v>
      </c>
      <c r="E177" s="5">
        <f>C177*0.8/100</f>
        <v>0.4</v>
      </c>
      <c r="F177" s="5">
        <f>C177*49.2/100</f>
        <v>24.6</v>
      </c>
      <c r="G177" s="5">
        <f>C177*234/100</f>
        <v>117</v>
      </c>
    </row>
    <row r="178" spans="1:7" x14ac:dyDescent="0.25">
      <c r="A178" s="5" t="s">
        <v>15</v>
      </c>
      <c r="B178" s="5" t="s">
        <v>16</v>
      </c>
      <c r="C178" s="5">
        <v>50</v>
      </c>
      <c r="D178" s="5">
        <f>C178*8/100</f>
        <v>4</v>
      </c>
      <c r="E178" s="5">
        <f>C178*1.5/100</f>
        <v>0.75</v>
      </c>
      <c r="F178" s="5">
        <f>C178*40.1/100</f>
        <v>20.05</v>
      </c>
      <c r="G178" s="5">
        <f>C178*206/100</f>
        <v>103</v>
      </c>
    </row>
    <row r="179" spans="1:7" x14ac:dyDescent="0.25">
      <c r="A179" s="5" t="s">
        <v>21</v>
      </c>
      <c r="B179" s="5" t="s">
        <v>20</v>
      </c>
      <c r="C179" s="5">
        <v>100</v>
      </c>
      <c r="D179" s="5">
        <f>C179*0.4/100</f>
        <v>0.4</v>
      </c>
      <c r="E179" s="5">
        <f>C179*0.4/100</f>
        <v>0.4</v>
      </c>
      <c r="F179" s="5">
        <f>C179*9.8/100</f>
        <v>9.8000000000000007</v>
      </c>
      <c r="G179" s="5">
        <f>C179*44/100</f>
        <v>44</v>
      </c>
    </row>
    <row r="180" spans="1:7" x14ac:dyDescent="0.25">
      <c r="A180" s="40" t="s">
        <v>17</v>
      </c>
      <c r="B180" s="41"/>
      <c r="C180" s="5">
        <f>SUM(C173:C179)</f>
        <v>1000</v>
      </c>
      <c r="D180" s="5">
        <f>SUM(D173:D179)</f>
        <v>38.549999999999997</v>
      </c>
      <c r="E180" s="5">
        <f>SUM(E173:E179)</f>
        <v>35.549999999999997</v>
      </c>
      <c r="F180" s="5">
        <f>SUM(F173:F179)</f>
        <v>98.924999999999983</v>
      </c>
      <c r="G180" s="5">
        <f>SUM(G173:G179)</f>
        <v>868.5</v>
      </c>
    </row>
    <row r="183" spans="1:7" x14ac:dyDescent="0.25">
      <c r="A183" s="40" t="s">
        <v>67</v>
      </c>
      <c r="B183" s="41"/>
      <c r="C183" s="5">
        <f>C167+C180</f>
        <v>1550</v>
      </c>
      <c r="D183" s="5">
        <f>D167+D180</f>
        <v>54.006794425087108</v>
      </c>
      <c r="E183" s="5">
        <f>E167+E180</f>
        <v>77.927351916376296</v>
      </c>
      <c r="F183" s="5">
        <f>F167+F180</f>
        <v>179.3939895470383</v>
      </c>
      <c r="G183" s="5">
        <f>G167+G180</f>
        <v>1634.520905923345</v>
      </c>
    </row>
    <row r="189" spans="1:7" x14ac:dyDescent="0.25">
      <c r="A189" s="2" t="s">
        <v>43</v>
      </c>
      <c r="B189" s="16"/>
      <c r="C189" s="16"/>
      <c r="D189" s="16"/>
      <c r="E189" s="16"/>
      <c r="F189" s="16"/>
      <c r="G189" s="16"/>
    </row>
    <row r="190" spans="1:7" ht="15.75" thickBot="1" x14ac:dyDescent="0.3">
      <c r="A190" s="17" t="s">
        <v>69</v>
      </c>
      <c r="B190" s="2"/>
      <c r="C190" s="2"/>
      <c r="D190" s="2"/>
      <c r="E190" s="2"/>
      <c r="F190" s="2"/>
      <c r="G190" s="2"/>
    </row>
    <row r="191" spans="1:7" ht="15.75" thickBot="1" x14ac:dyDescent="0.3">
      <c r="A191" s="42" t="s">
        <v>0</v>
      </c>
      <c r="B191" s="42" t="s">
        <v>1</v>
      </c>
      <c r="C191" s="1" t="s">
        <v>2</v>
      </c>
      <c r="D191" s="44" t="s">
        <v>4</v>
      </c>
      <c r="E191" s="45"/>
      <c r="F191" s="45"/>
      <c r="G191" s="46"/>
    </row>
    <row r="192" spans="1:7" ht="26.25" x14ac:dyDescent="0.25">
      <c r="A192" s="43"/>
      <c r="B192" s="43"/>
      <c r="C192" s="4" t="s">
        <v>3</v>
      </c>
      <c r="D192" s="4" t="s">
        <v>5</v>
      </c>
      <c r="E192" s="4" t="s">
        <v>6</v>
      </c>
      <c r="F192" s="4" t="s">
        <v>7</v>
      </c>
      <c r="G192" s="4" t="s">
        <v>8</v>
      </c>
    </row>
    <row r="193" spans="1:7" x14ac:dyDescent="0.25">
      <c r="A193" s="5" t="s">
        <v>95</v>
      </c>
      <c r="B193" s="5" t="s">
        <v>96</v>
      </c>
      <c r="C193" s="5">
        <v>250</v>
      </c>
      <c r="D193" s="5">
        <f>C193*24/1000</f>
        <v>6</v>
      </c>
      <c r="E193" s="5">
        <f>C193*25/1000</f>
        <v>6.25</v>
      </c>
      <c r="F193" s="5">
        <f>C193*82.2/1000</f>
        <v>20.55</v>
      </c>
      <c r="G193" s="5">
        <f>C193*650/1000</f>
        <v>162.5</v>
      </c>
    </row>
    <row r="194" spans="1:7" x14ac:dyDescent="0.25">
      <c r="A194" s="5" t="s">
        <v>87</v>
      </c>
      <c r="B194" s="5" t="s">
        <v>88</v>
      </c>
      <c r="C194" s="5">
        <v>100</v>
      </c>
      <c r="D194" s="5">
        <f>C194*6.9/45</f>
        <v>15.333333333333334</v>
      </c>
      <c r="E194" s="5">
        <f>C194*9/45</f>
        <v>20</v>
      </c>
      <c r="F194" s="5">
        <f>C194*10/45</f>
        <v>22.222222222222221</v>
      </c>
      <c r="G194" s="5">
        <f>C194*149/45</f>
        <v>331.11111111111109</v>
      </c>
    </row>
    <row r="195" spans="1:7" x14ac:dyDescent="0.25">
      <c r="A195" s="5" t="s">
        <v>22</v>
      </c>
      <c r="B195" s="5" t="s">
        <v>19</v>
      </c>
      <c r="C195" s="5">
        <v>200</v>
      </c>
      <c r="D195" s="5">
        <f>C195*0.2/200</f>
        <v>0.2</v>
      </c>
      <c r="E195" s="5">
        <f>C195*0.1/200</f>
        <v>0.1</v>
      </c>
      <c r="F195" s="5">
        <f>C195*9.3/200</f>
        <v>9.3000000000000007</v>
      </c>
      <c r="G195" s="5">
        <f>C195*38/200</f>
        <v>38</v>
      </c>
    </row>
    <row r="196" spans="1:7" x14ac:dyDescent="0.25">
      <c r="A196" s="40" t="s">
        <v>70</v>
      </c>
      <c r="B196" s="41"/>
      <c r="C196" s="5">
        <f>SUM(C193:C195)</f>
        <v>550</v>
      </c>
      <c r="D196" s="5">
        <f>SUM(D193:D195)</f>
        <v>21.533333333333335</v>
      </c>
      <c r="E196" s="5">
        <f>SUM(E193:E195)</f>
        <v>26.35</v>
      </c>
      <c r="F196" s="5">
        <f>SUM(F193:F195)</f>
        <v>52.072222222222223</v>
      </c>
      <c r="G196" s="5">
        <f>SUM(G193:G195)</f>
        <v>531.61111111111109</v>
      </c>
    </row>
    <row r="199" spans="1:7" ht="15.75" thickBot="1" x14ac:dyDescent="0.3">
      <c r="A199" s="6" t="s">
        <v>10</v>
      </c>
      <c r="B199" s="16"/>
      <c r="C199" s="16"/>
      <c r="D199" s="16"/>
      <c r="E199" s="16"/>
      <c r="F199" s="16"/>
      <c r="G199" s="16"/>
    </row>
    <row r="200" spans="1:7" ht="15.75" thickBot="1" x14ac:dyDescent="0.3">
      <c r="A200" s="42" t="s">
        <v>0</v>
      </c>
      <c r="B200" s="42" t="s">
        <v>1</v>
      </c>
      <c r="C200" s="1" t="s">
        <v>2</v>
      </c>
      <c r="D200" s="44" t="s">
        <v>4</v>
      </c>
      <c r="E200" s="45"/>
      <c r="F200" s="45"/>
      <c r="G200" s="46"/>
    </row>
    <row r="201" spans="1:7" ht="26.25" x14ac:dyDescent="0.25">
      <c r="A201" s="43"/>
      <c r="B201" s="43"/>
      <c r="C201" s="4" t="s">
        <v>3</v>
      </c>
      <c r="D201" s="4" t="s">
        <v>5</v>
      </c>
      <c r="E201" s="4" t="s">
        <v>6</v>
      </c>
      <c r="F201" s="4" t="s">
        <v>7</v>
      </c>
      <c r="G201" s="4" t="s">
        <v>8</v>
      </c>
    </row>
    <row r="202" spans="1:7" x14ac:dyDescent="0.25">
      <c r="A202" s="5" t="s">
        <v>148</v>
      </c>
      <c r="B202" s="5" t="s">
        <v>154</v>
      </c>
      <c r="C202" s="5">
        <v>100</v>
      </c>
      <c r="D202" s="5">
        <v>1</v>
      </c>
      <c r="E202" s="5">
        <v>6.1</v>
      </c>
      <c r="F202" s="5">
        <v>3.5</v>
      </c>
      <c r="G202" s="5">
        <v>73</v>
      </c>
    </row>
    <row r="203" spans="1:7" x14ac:dyDescent="0.25">
      <c r="A203" s="34" t="s">
        <v>11</v>
      </c>
      <c r="B203" s="34" t="s">
        <v>12</v>
      </c>
      <c r="C203" s="34">
        <v>250</v>
      </c>
      <c r="D203" s="34">
        <v>1.5</v>
      </c>
      <c r="E203" s="34">
        <v>4.5</v>
      </c>
      <c r="F203" s="34">
        <v>3.8</v>
      </c>
      <c r="G203" s="34">
        <v>61.75</v>
      </c>
    </row>
    <row r="204" spans="1:7" x14ac:dyDescent="0.25">
      <c r="A204" s="5" t="s">
        <v>55</v>
      </c>
      <c r="B204" s="5" t="s">
        <v>56</v>
      </c>
      <c r="C204" s="5">
        <v>100</v>
      </c>
      <c r="D204" s="5">
        <f>C204*17.3/100</f>
        <v>17.3</v>
      </c>
      <c r="E204" s="5">
        <f>C204*21/100</f>
        <v>21</v>
      </c>
      <c r="F204" s="5">
        <f>C204*9.9/100</f>
        <v>9.9</v>
      </c>
      <c r="G204" s="5">
        <f>C204*298/100</f>
        <v>298</v>
      </c>
    </row>
    <row r="205" spans="1:7" x14ac:dyDescent="0.25">
      <c r="A205" s="5" t="s">
        <v>104</v>
      </c>
      <c r="B205" s="5" t="s">
        <v>103</v>
      </c>
      <c r="C205" s="5">
        <v>50</v>
      </c>
      <c r="D205" s="5">
        <f>C205*29.5/1000</f>
        <v>1.4750000000000001</v>
      </c>
      <c r="E205" s="5">
        <f>C205*186.9/1000</f>
        <v>9.3450000000000006</v>
      </c>
      <c r="F205" s="5">
        <f>C205*48.5/1000</f>
        <v>2.4249999999999998</v>
      </c>
      <c r="G205" s="5">
        <f>C205*1994/1000</f>
        <v>99.7</v>
      </c>
    </row>
    <row r="206" spans="1:7" x14ac:dyDescent="0.25">
      <c r="A206" s="5" t="s">
        <v>33</v>
      </c>
      <c r="B206" s="5" t="s">
        <v>34</v>
      </c>
      <c r="C206" s="5">
        <v>200</v>
      </c>
      <c r="D206" s="5">
        <f>C206*2.7/100</f>
        <v>5.4</v>
      </c>
      <c r="E206" s="5">
        <f>C206*4/100</f>
        <v>8</v>
      </c>
      <c r="F206" s="5">
        <f>C206*5.8/100</f>
        <v>11.6</v>
      </c>
      <c r="G206" s="5">
        <f>C206*70/100</f>
        <v>140</v>
      </c>
    </row>
    <row r="207" spans="1:7" x14ac:dyDescent="0.25">
      <c r="A207" s="5" t="s">
        <v>13</v>
      </c>
      <c r="B207" s="5" t="s">
        <v>14</v>
      </c>
      <c r="C207" s="5">
        <v>200</v>
      </c>
      <c r="D207" s="5">
        <f>C207*0.6/200</f>
        <v>0.6</v>
      </c>
      <c r="E207" s="5">
        <f>C207*0.1/200</f>
        <v>0.1</v>
      </c>
      <c r="F207" s="5">
        <f>C207*20.1/200</f>
        <v>20.100000000000001</v>
      </c>
      <c r="G207" s="5">
        <f>C207*84/200</f>
        <v>84</v>
      </c>
    </row>
    <row r="208" spans="1:7" x14ac:dyDescent="0.25">
      <c r="A208" s="5" t="s">
        <v>53</v>
      </c>
      <c r="B208" s="5" t="s">
        <v>54</v>
      </c>
      <c r="C208" s="5">
        <v>50</v>
      </c>
      <c r="D208" s="5">
        <f>C208*7.6/100</f>
        <v>3.8</v>
      </c>
      <c r="E208" s="5">
        <f>C208*0.8/100</f>
        <v>0.4</v>
      </c>
      <c r="F208" s="5">
        <f>C208*49.2/100</f>
        <v>24.6</v>
      </c>
      <c r="G208" s="5">
        <f>C208*234/100</f>
        <v>117</v>
      </c>
    </row>
    <row r="209" spans="1:7" x14ac:dyDescent="0.25">
      <c r="A209" s="11" t="s">
        <v>15</v>
      </c>
      <c r="B209" s="11" t="s">
        <v>16</v>
      </c>
      <c r="C209" s="11">
        <v>50</v>
      </c>
      <c r="D209" s="11">
        <f>C209*8/100</f>
        <v>4</v>
      </c>
      <c r="E209" s="11">
        <f>C209*1.5/100</f>
        <v>0.75</v>
      </c>
      <c r="F209" s="11">
        <f>C209*40.1/100</f>
        <v>20.05</v>
      </c>
      <c r="G209" s="11">
        <f>C209*206/100</f>
        <v>103</v>
      </c>
    </row>
    <row r="210" spans="1:7" x14ac:dyDescent="0.25">
      <c r="A210" s="5"/>
      <c r="B210" s="5"/>
      <c r="C210" s="5"/>
      <c r="D210" s="5"/>
      <c r="E210" s="5"/>
      <c r="F210" s="15"/>
      <c r="G210" s="5"/>
    </row>
    <row r="211" spans="1:7" x14ac:dyDescent="0.25">
      <c r="A211" s="40" t="s">
        <v>17</v>
      </c>
      <c r="B211" s="41"/>
      <c r="C211" s="12">
        <f>SUM(C202:C210)</f>
        <v>1000</v>
      </c>
      <c r="D211" s="12">
        <f>SUM(D202:D210)</f>
        <v>35.075000000000003</v>
      </c>
      <c r="E211" s="12">
        <f>SUM(E202:E210)</f>
        <v>50.195</v>
      </c>
      <c r="F211" s="12">
        <f>SUM(F202:F210)</f>
        <v>95.975000000000009</v>
      </c>
      <c r="G211" s="12">
        <f>SUM(G202:G210)</f>
        <v>976.45</v>
      </c>
    </row>
    <row r="214" spans="1:7" x14ac:dyDescent="0.25">
      <c r="A214" s="40" t="s">
        <v>67</v>
      </c>
      <c r="B214" s="41"/>
      <c r="C214" s="5">
        <f>C196+C211</f>
        <v>1550</v>
      </c>
      <c r="D214" s="5">
        <f>D196+D211</f>
        <v>56.608333333333334</v>
      </c>
      <c r="E214" s="5">
        <f>E196+E211</f>
        <v>76.545000000000002</v>
      </c>
      <c r="F214" s="5">
        <f>F196+F211</f>
        <v>148.04722222222222</v>
      </c>
      <c r="G214" s="5">
        <f>G196+G211</f>
        <v>1508.0611111111111</v>
      </c>
    </row>
    <row r="220" spans="1:7" x14ac:dyDescent="0.25">
      <c r="A220" s="2" t="s">
        <v>44</v>
      </c>
      <c r="B220" s="16"/>
      <c r="C220" s="16"/>
      <c r="D220" s="16"/>
      <c r="E220" s="16"/>
      <c r="F220" s="16"/>
      <c r="G220" s="16"/>
    </row>
    <row r="221" spans="1:7" ht="15.75" thickBot="1" x14ac:dyDescent="0.3">
      <c r="A221" s="17" t="s">
        <v>69</v>
      </c>
      <c r="B221" s="2"/>
      <c r="C221" s="2"/>
      <c r="D221" s="2"/>
      <c r="E221" s="2"/>
      <c r="F221" s="2"/>
      <c r="G221" s="2"/>
    </row>
    <row r="222" spans="1:7" ht="15.75" thickBot="1" x14ac:dyDescent="0.3">
      <c r="A222" s="42" t="s">
        <v>0</v>
      </c>
      <c r="B222" s="42" t="s">
        <v>1</v>
      </c>
      <c r="C222" s="1" t="s">
        <v>2</v>
      </c>
      <c r="D222" s="44" t="s">
        <v>4</v>
      </c>
      <c r="E222" s="45"/>
      <c r="F222" s="45"/>
      <c r="G222" s="46"/>
    </row>
    <row r="223" spans="1:7" ht="26.25" x14ac:dyDescent="0.25">
      <c r="A223" s="43"/>
      <c r="B223" s="43"/>
      <c r="C223" s="4" t="s">
        <v>3</v>
      </c>
      <c r="D223" s="4" t="s">
        <v>5</v>
      </c>
      <c r="E223" s="4" t="s">
        <v>6</v>
      </c>
      <c r="F223" s="4" t="s">
        <v>7</v>
      </c>
      <c r="G223" s="4" t="s">
        <v>8</v>
      </c>
    </row>
    <row r="224" spans="1:7" x14ac:dyDescent="0.25">
      <c r="A224" s="5" t="s">
        <v>85</v>
      </c>
      <c r="B224" s="7" t="s">
        <v>86</v>
      </c>
      <c r="C224" s="5">
        <v>250</v>
      </c>
      <c r="D224" s="5">
        <f>C224*26/1025</f>
        <v>6.3414634146341466</v>
      </c>
      <c r="E224" s="5">
        <f>C224*33/1025</f>
        <v>8.0487804878048781</v>
      </c>
      <c r="F224" s="5">
        <f>C224*138/1025</f>
        <v>33.658536585365852</v>
      </c>
      <c r="G224" s="5">
        <f>C224*953/1025</f>
        <v>232.4390243902439</v>
      </c>
    </row>
    <row r="225" spans="1:7" x14ac:dyDescent="0.25">
      <c r="A225" s="5" t="s">
        <v>73</v>
      </c>
      <c r="B225" s="5" t="s">
        <v>74</v>
      </c>
      <c r="C225" s="5">
        <v>100</v>
      </c>
      <c r="D225" s="5">
        <f>C225*1.6/35</f>
        <v>4.5714285714285712</v>
      </c>
      <c r="E225" s="5">
        <f>C225*11/35</f>
        <v>31.428571428571427</v>
      </c>
      <c r="F225" s="5">
        <f>C225*10/35</f>
        <v>28.571428571428573</v>
      </c>
      <c r="G225" s="5">
        <f>C225*146/35</f>
        <v>417.14285714285717</v>
      </c>
    </row>
    <row r="226" spans="1:7" x14ac:dyDescent="0.25">
      <c r="A226" s="5" t="s">
        <v>98</v>
      </c>
      <c r="B226" s="5" t="s">
        <v>97</v>
      </c>
      <c r="C226" s="5">
        <v>200</v>
      </c>
      <c r="D226" s="5">
        <f>C226*0.3/200</f>
        <v>0.3</v>
      </c>
      <c r="E226" s="5">
        <f>C226*0.1/200</f>
        <v>0.1</v>
      </c>
      <c r="F226" s="5">
        <f>C226*9.5/200</f>
        <v>9.5</v>
      </c>
      <c r="G226" s="5">
        <f>C226*40/200</f>
        <v>40</v>
      </c>
    </row>
    <row r="227" spans="1:7" x14ac:dyDescent="0.25">
      <c r="A227" s="40" t="s">
        <v>70</v>
      </c>
      <c r="B227" s="41"/>
      <c r="C227" s="5">
        <f>SUM(C224:C226)</f>
        <v>550</v>
      </c>
      <c r="D227" s="5">
        <f>SUM(D224:D226)</f>
        <v>11.212891986062719</v>
      </c>
      <c r="E227" s="5">
        <f>SUM(E224:E226)</f>
        <v>39.577351916376308</v>
      </c>
      <c r="F227" s="5">
        <f>SUM(F224:F226)</f>
        <v>71.729965156794421</v>
      </c>
      <c r="G227" s="5">
        <f>SUM(G224:G226)</f>
        <v>689.58188153310107</v>
      </c>
    </row>
    <row r="230" spans="1:7" ht="15.75" thickBot="1" x14ac:dyDescent="0.3">
      <c r="A230" s="6" t="s">
        <v>10</v>
      </c>
      <c r="B230" s="16"/>
      <c r="C230" s="16"/>
      <c r="D230" s="16"/>
      <c r="E230" s="16"/>
      <c r="F230" s="16"/>
      <c r="G230" s="16"/>
    </row>
    <row r="231" spans="1:7" ht="15.75" thickBot="1" x14ac:dyDescent="0.3">
      <c r="A231" s="42" t="s">
        <v>0</v>
      </c>
      <c r="B231" s="42" t="s">
        <v>1</v>
      </c>
      <c r="C231" s="1" t="s">
        <v>2</v>
      </c>
      <c r="D231" s="44" t="s">
        <v>4</v>
      </c>
      <c r="E231" s="45"/>
      <c r="F231" s="45"/>
      <c r="G231" s="46"/>
    </row>
    <row r="232" spans="1:7" ht="26.25" x14ac:dyDescent="0.25">
      <c r="A232" s="43"/>
      <c r="B232" s="43"/>
      <c r="C232" s="4" t="s">
        <v>3</v>
      </c>
      <c r="D232" s="4" t="s">
        <v>5</v>
      </c>
      <c r="E232" s="4" t="s">
        <v>6</v>
      </c>
      <c r="F232" s="4" t="s">
        <v>7</v>
      </c>
      <c r="G232" s="4" t="s">
        <v>8</v>
      </c>
    </row>
    <row r="233" spans="1:7" x14ac:dyDescent="0.25">
      <c r="A233" s="5" t="s">
        <v>105</v>
      </c>
      <c r="B233" s="5" t="s">
        <v>106</v>
      </c>
      <c r="C233" s="5">
        <v>100</v>
      </c>
      <c r="D233" s="5">
        <f>C233*1.4/100</f>
        <v>1.4</v>
      </c>
      <c r="E233" s="5">
        <f>C233*6.1/100</f>
        <v>6.1</v>
      </c>
      <c r="F233" s="5">
        <f>C233*7.6/100</f>
        <v>7.6</v>
      </c>
      <c r="G233" s="5">
        <f>C233*91/100</f>
        <v>91</v>
      </c>
    </row>
    <row r="234" spans="1:7" x14ac:dyDescent="0.25">
      <c r="A234" s="5" t="s">
        <v>23</v>
      </c>
      <c r="B234" s="5" t="s">
        <v>24</v>
      </c>
      <c r="C234" s="5">
        <v>200</v>
      </c>
      <c r="D234" s="5">
        <v>1.48</v>
      </c>
      <c r="E234" s="5">
        <v>3.54</v>
      </c>
      <c r="F234" s="5">
        <v>5.56</v>
      </c>
      <c r="G234" s="5">
        <v>60</v>
      </c>
    </row>
    <row r="235" spans="1:7" x14ac:dyDescent="0.25">
      <c r="A235" s="5" t="s">
        <v>135</v>
      </c>
      <c r="B235" s="5" t="s">
        <v>134</v>
      </c>
      <c r="C235" s="5">
        <v>100</v>
      </c>
      <c r="D235" s="5">
        <v>10.5</v>
      </c>
      <c r="E235" s="5">
        <v>17.100000000000001</v>
      </c>
      <c r="F235" s="5">
        <v>0.2</v>
      </c>
      <c r="G235" s="5">
        <v>197</v>
      </c>
    </row>
    <row r="236" spans="1:7" x14ac:dyDescent="0.25">
      <c r="A236" s="5" t="s">
        <v>39</v>
      </c>
      <c r="B236" s="5" t="s">
        <v>37</v>
      </c>
      <c r="C236" s="5">
        <v>200</v>
      </c>
      <c r="D236" s="5">
        <f>C236*3.7/100</f>
        <v>7.4</v>
      </c>
      <c r="E236" s="5">
        <f>C236*3.3/100</f>
        <v>6.6</v>
      </c>
      <c r="F236" s="5">
        <f>C236*19.7/100</f>
        <v>39.4</v>
      </c>
      <c r="G236" s="5">
        <f>C236*123/100</f>
        <v>246</v>
      </c>
    </row>
    <row r="237" spans="1:7" x14ac:dyDescent="0.25">
      <c r="A237" s="5" t="s">
        <v>22</v>
      </c>
      <c r="B237" s="5" t="s">
        <v>19</v>
      </c>
      <c r="C237" s="5">
        <v>200</v>
      </c>
      <c r="D237" s="5">
        <f>C237*0.2/200</f>
        <v>0.2</v>
      </c>
      <c r="E237" s="5">
        <f>C237*0.1/200</f>
        <v>0.1</v>
      </c>
      <c r="F237" s="5">
        <f>C237*9.3/200</f>
        <v>9.3000000000000007</v>
      </c>
      <c r="G237" s="5">
        <f>C237*38/200</f>
        <v>38</v>
      </c>
    </row>
    <row r="238" spans="1:7" x14ac:dyDescent="0.25">
      <c r="A238" s="5" t="s">
        <v>53</v>
      </c>
      <c r="B238" s="5" t="s">
        <v>54</v>
      </c>
      <c r="C238" s="5">
        <v>50</v>
      </c>
      <c r="D238" s="5">
        <f>C238*7.6/100</f>
        <v>3.8</v>
      </c>
      <c r="E238" s="5">
        <f>C238*0.8/100</f>
        <v>0.4</v>
      </c>
      <c r="F238" s="5">
        <f>C238*49.2/100</f>
        <v>24.6</v>
      </c>
      <c r="G238" s="5">
        <f>C238*234/100</f>
        <v>117</v>
      </c>
    </row>
    <row r="239" spans="1:7" x14ac:dyDescent="0.25">
      <c r="A239" s="11" t="s">
        <v>15</v>
      </c>
      <c r="B239" s="11" t="s">
        <v>16</v>
      </c>
      <c r="C239" s="11">
        <v>50</v>
      </c>
      <c r="D239" s="11">
        <f>C239*8/100</f>
        <v>4</v>
      </c>
      <c r="E239" s="11">
        <f>C239*1.5/100</f>
        <v>0.75</v>
      </c>
      <c r="F239" s="11">
        <f>C239*40.1/100</f>
        <v>20.05</v>
      </c>
      <c r="G239" s="11">
        <f>C239*206/100</f>
        <v>103</v>
      </c>
    </row>
    <row r="240" spans="1:7" x14ac:dyDescent="0.25">
      <c r="A240" s="40" t="s">
        <v>17</v>
      </c>
      <c r="B240" s="41"/>
      <c r="C240" s="5">
        <f>SUM(C233:C239)</f>
        <v>900</v>
      </c>
      <c r="D240" s="5">
        <f>SUM(D233:D239)</f>
        <v>28.78</v>
      </c>
      <c r="E240" s="5">
        <f>SUM(E233:E239)</f>
        <v>34.590000000000003</v>
      </c>
      <c r="F240" s="5">
        <f>SUM(F233:F239)</f>
        <v>106.71</v>
      </c>
      <c r="G240" s="5">
        <f>SUM(G233:G239)</f>
        <v>852</v>
      </c>
    </row>
    <row r="243" spans="1:7" x14ac:dyDescent="0.25">
      <c r="A243" s="40" t="s">
        <v>67</v>
      </c>
      <c r="B243" s="41"/>
      <c r="C243" s="5">
        <f>C227+C240</f>
        <v>1450</v>
      </c>
      <c r="D243" s="5">
        <f>D227+D240</f>
        <v>39.992891986062716</v>
      </c>
      <c r="E243" s="5">
        <f>E227+E240</f>
        <v>74.167351916376305</v>
      </c>
      <c r="F243" s="5">
        <f>F227+F240</f>
        <v>178.43996515679441</v>
      </c>
      <c r="G243" s="5">
        <f>G227+G240</f>
        <v>1541.5818815331011</v>
      </c>
    </row>
    <row r="251" spans="1:7" x14ac:dyDescent="0.25">
      <c r="A251" s="2" t="s">
        <v>47</v>
      </c>
      <c r="B251" s="16"/>
      <c r="C251" s="16"/>
      <c r="D251" s="16"/>
      <c r="E251" s="16"/>
      <c r="F251" s="16"/>
      <c r="G251" s="16"/>
    </row>
    <row r="252" spans="1:7" ht="15.75" thickBot="1" x14ac:dyDescent="0.3">
      <c r="A252" s="17" t="s">
        <v>69</v>
      </c>
      <c r="B252" s="2"/>
      <c r="C252" s="2"/>
      <c r="D252" s="2"/>
      <c r="E252" s="2"/>
      <c r="F252" s="2"/>
      <c r="G252" s="2"/>
    </row>
    <row r="253" spans="1:7" ht="15.75" thickBot="1" x14ac:dyDescent="0.3">
      <c r="A253" s="42" t="s">
        <v>0</v>
      </c>
      <c r="B253" s="42" t="s">
        <v>1</v>
      </c>
      <c r="C253" s="1" t="s">
        <v>2</v>
      </c>
      <c r="D253" s="44" t="s">
        <v>4</v>
      </c>
      <c r="E253" s="45"/>
      <c r="F253" s="45"/>
      <c r="G253" s="46"/>
    </row>
    <row r="254" spans="1:7" ht="26.25" x14ac:dyDescent="0.25">
      <c r="A254" s="43"/>
      <c r="B254" s="43"/>
      <c r="C254" s="4" t="s">
        <v>3</v>
      </c>
      <c r="D254" s="4" t="s">
        <v>5</v>
      </c>
      <c r="E254" s="4" t="s">
        <v>6</v>
      </c>
      <c r="F254" s="4" t="s">
        <v>7</v>
      </c>
      <c r="G254" s="4" t="s">
        <v>8</v>
      </c>
    </row>
    <row r="255" spans="1:7" ht="30" x14ac:dyDescent="0.25">
      <c r="A255" s="5" t="s">
        <v>99</v>
      </c>
      <c r="B255" s="7" t="s">
        <v>100</v>
      </c>
      <c r="C255" s="5">
        <v>250</v>
      </c>
      <c r="D255" s="5">
        <f>C255*35.8/1025</f>
        <v>8.7317073170731714</v>
      </c>
      <c r="E255" s="5">
        <f>C255*42.4/1025</f>
        <v>10.341463414634147</v>
      </c>
      <c r="F255" s="5">
        <f>C255*145.7/1025</f>
        <v>35.536585365853661</v>
      </c>
      <c r="G255" s="5">
        <f>C255*1108/1025</f>
        <v>270.2439024390244</v>
      </c>
    </row>
    <row r="256" spans="1:7" x14ac:dyDescent="0.25">
      <c r="A256" s="5" t="s">
        <v>81</v>
      </c>
      <c r="B256" s="5" t="s">
        <v>82</v>
      </c>
      <c r="C256" s="5">
        <v>100</v>
      </c>
      <c r="D256" s="5">
        <f>C256*1.6/45</f>
        <v>3.5555555555555554</v>
      </c>
      <c r="E256" s="5">
        <f>C256*3.8/45</f>
        <v>8.4444444444444446</v>
      </c>
      <c r="F256" s="5">
        <f>C256*23.4/45</f>
        <v>52</v>
      </c>
      <c r="G256" s="5">
        <f>C256*134/45</f>
        <v>297.77777777777777</v>
      </c>
    </row>
    <row r="257" spans="1:7" x14ac:dyDescent="0.25">
      <c r="A257" s="5" t="s">
        <v>75</v>
      </c>
      <c r="B257" s="5" t="s">
        <v>76</v>
      </c>
      <c r="C257" s="5">
        <v>200</v>
      </c>
      <c r="D257" s="5">
        <f>C257*3.3/200</f>
        <v>3.3</v>
      </c>
      <c r="E257" s="5">
        <f>C257*2.9/200</f>
        <v>2.9</v>
      </c>
      <c r="F257" s="5">
        <f>C257*13.8/200</f>
        <v>13.8</v>
      </c>
      <c r="G257" s="5">
        <f>C257*94/200</f>
        <v>94</v>
      </c>
    </row>
    <row r="258" spans="1:7" x14ac:dyDescent="0.25">
      <c r="A258" s="40" t="s">
        <v>70</v>
      </c>
      <c r="B258" s="41"/>
      <c r="C258" s="5">
        <f>SUM(C255:C257)</f>
        <v>550</v>
      </c>
      <c r="D258" s="5">
        <f>SUM(D255:D257)</f>
        <v>15.587262872628727</v>
      </c>
      <c r="E258" s="5">
        <f>SUM(E255:E257)</f>
        <v>21.68590785907859</v>
      </c>
      <c r="F258" s="5">
        <f>SUM(F255:F257)</f>
        <v>101.33658536585365</v>
      </c>
      <c r="G258" s="5">
        <f>SUM(G255:G257)</f>
        <v>662.02168021680222</v>
      </c>
    </row>
    <row r="261" spans="1:7" ht="15.75" thickBot="1" x14ac:dyDescent="0.3">
      <c r="A261" s="6" t="s">
        <v>10</v>
      </c>
      <c r="B261" s="16"/>
      <c r="C261" s="16"/>
      <c r="D261" s="16"/>
      <c r="E261" s="16"/>
      <c r="F261" s="16"/>
      <c r="G261" s="16"/>
    </row>
    <row r="262" spans="1:7" ht="15.75" thickBot="1" x14ac:dyDescent="0.3">
      <c r="A262" s="42" t="s">
        <v>0</v>
      </c>
      <c r="B262" s="42" t="s">
        <v>1</v>
      </c>
      <c r="C262" s="1" t="s">
        <v>2</v>
      </c>
      <c r="D262" s="44" t="s">
        <v>4</v>
      </c>
      <c r="E262" s="45"/>
      <c r="F262" s="45"/>
      <c r="G262" s="46"/>
    </row>
    <row r="263" spans="1:7" ht="26.25" x14ac:dyDescent="0.25">
      <c r="A263" s="43"/>
      <c r="B263" s="43"/>
      <c r="C263" s="4" t="s">
        <v>3</v>
      </c>
      <c r="D263" s="4" t="s">
        <v>5</v>
      </c>
      <c r="E263" s="4" t="s">
        <v>6</v>
      </c>
      <c r="F263" s="4" t="s">
        <v>7</v>
      </c>
      <c r="G263" s="4" t="s">
        <v>8</v>
      </c>
    </row>
    <row r="265" spans="1:7" x14ac:dyDescent="0.25">
      <c r="A265" s="34" t="s">
        <v>150</v>
      </c>
      <c r="B265" s="34" t="s">
        <v>151</v>
      </c>
      <c r="C265" s="34">
        <v>100</v>
      </c>
      <c r="D265" s="34">
        <v>1.6</v>
      </c>
      <c r="E265" s="34">
        <v>6.2</v>
      </c>
      <c r="F265" s="34">
        <v>6.6</v>
      </c>
      <c r="G265" s="34">
        <v>88</v>
      </c>
    </row>
    <row r="266" spans="1:7" x14ac:dyDescent="0.25">
      <c r="A266" s="34" t="s">
        <v>52</v>
      </c>
      <c r="B266" s="34" t="s">
        <v>51</v>
      </c>
      <c r="C266" s="34">
        <v>200</v>
      </c>
      <c r="D266" s="34">
        <v>1.86</v>
      </c>
      <c r="E266" s="34">
        <v>3.78</v>
      </c>
      <c r="F266" s="34">
        <v>8.26</v>
      </c>
      <c r="G266" s="34">
        <v>74.599999999999994</v>
      </c>
    </row>
    <row r="267" spans="1:7" x14ac:dyDescent="0.25">
      <c r="A267" s="5" t="s">
        <v>129</v>
      </c>
      <c r="B267" s="5" t="s">
        <v>136</v>
      </c>
      <c r="C267" s="5">
        <v>100</v>
      </c>
      <c r="D267" s="5">
        <v>20</v>
      </c>
      <c r="E267" s="5">
        <v>19.5</v>
      </c>
      <c r="F267" s="5">
        <v>3.3</v>
      </c>
      <c r="G267" s="5">
        <v>258</v>
      </c>
    </row>
    <row r="268" spans="1:7" x14ac:dyDescent="0.25">
      <c r="A268" s="5" t="s">
        <v>61</v>
      </c>
      <c r="B268" s="5" t="s">
        <v>62</v>
      </c>
      <c r="C268" s="5">
        <v>200</v>
      </c>
      <c r="D268" s="5">
        <f>C268*60/1100</f>
        <v>10.909090909090908</v>
      </c>
      <c r="E268" s="5">
        <f>C268*33.8/1100</f>
        <v>6.1454545454545446</v>
      </c>
      <c r="F268" s="5">
        <f>C268*268.6/1100</f>
        <v>48.836363636363643</v>
      </c>
      <c r="G268" s="5">
        <f>C268*1620/1100</f>
        <v>294.54545454545456</v>
      </c>
    </row>
    <row r="269" spans="1:7" x14ac:dyDescent="0.25">
      <c r="A269" s="5" t="s">
        <v>13</v>
      </c>
      <c r="B269" s="5" t="s">
        <v>14</v>
      </c>
      <c r="C269" s="5">
        <v>200</v>
      </c>
      <c r="D269" s="5">
        <v>0.6</v>
      </c>
      <c r="E269" s="5">
        <v>0.1</v>
      </c>
      <c r="F269" s="5">
        <v>20.100000000000001</v>
      </c>
      <c r="G269" s="5">
        <v>84</v>
      </c>
    </row>
    <row r="270" spans="1:7" x14ac:dyDescent="0.25">
      <c r="A270" s="5" t="s">
        <v>53</v>
      </c>
      <c r="B270" s="5" t="s">
        <v>54</v>
      </c>
      <c r="C270" s="5">
        <v>50</v>
      </c>
      <c r="D270" s="5">
        <f>C270*7.6/100</f>
        <v>3.8</v>
      </c>
      <c r="E270" s="5">
        <f>C270*0.8/100</f>
        <v>0.4</v>
      </c>
      <c r="F270" s="5">
        <f>C270*49.2/100</f>
        <v>24.6</v>
      </c>
      <c r="G270" s="5">
        <f>C270*234/100</f>
        <v>117</v>
      </c>
    </row>
    <row r="271" spans="1:7" x14ac:dyDescent="0.25">
      <c r="A271" s="11" t="s">
        <v>15</v>
      </c>
      <c r="B271" s="11" t="s">
        <v>16</v>
      </c>
      <c r="C271" s="11">
        <v>50</v>
      </c>
      <c r="D271" s="11">
        <f>C271*8/100</f>
        <v>4</v>
      </c>
      <c r="E271" s="11">
        <f>C271*1.5/100</f>
        <v>0.75</v>
      </c>
      <c r="F271" s="11">
        <f>C271*40.1/100</f>
        <v>20.05</v>
      </c>
      <c r="G271" s="11">
        <f>C271*206/100</f>
        <v>103</v>
      </c>
    </row>
    <row r="272" spans="1:7" x14ac:dyDescent="0.25">
      <c r="A272" s="40" t="s">
        <v>17</v>
      </c>
      <c r="B272" s="41"/>
      <c r="C272" s="12">
        <f>SUM(C264:C271)</f>
        <v>900</v>
      </c>
      <c r="D272" s="12">
        <f>SUM(D264:D271)</f>
        <v>42.769090909090906</v>
      </c>
      <c r="E272" s="12">
        <f>SUM(E264:E271)</f>
        <v>36.875454545454545</v>
      </c>
      <c r="F272" s="12">
        <f>SUM(F264:F271)</f>
        <v>131.74636363636364</v>
      </c>
      <c r="G272" s="12">
        <f>SUM(G264:G271)</f>
        <v>1019.1454545454546</v>
      </c>
    </row>
    <row r="275" spans="1:7" x14ac:dyDescent="0.25">
      <c r="A275" s="40" t="s">
        <v>67</v>
      </c>
      <c r="B275" s="41"/>
      <c r="C275" s="5">
        <f>C258+C272</f>
        <v>1450</v>
      </c>
      <c r="D275" s="5">
        <f>D258+D272</f>
        <v>58.356353781719633</v>
      </c>
      <c r="E275" s="5">
        <f>E258+E272</f>
        <v>58.561362404533135</v>
      </c>
      <c r="F275" s="5">
        <f>F258+F272</f>
        <v>233.08294900221728</v>
      </c>
      <c r="G275" s="5">
        <f>G258+G272</f>
        <v>1681.1671347622569</v>
      </c>
    </row>
    <row r="281" spans="1:7" x14ac:dyDescent="0.25">
      <c r="A281" s="2" t="s">
        <v>48</v>
      </c>
      <c r="B281" s="16"/>
      <c r="C281" s="16"/>
      <c r="D281" s="16"/>
      <c r="E281" s="16"/>
      <c r="F281" s="16"/>
      <c r="G281" s="16"/>
    </row>
    <row r="282" spans="1:7" ht="15.75" thickBot="1" x14ac:dyDescent="0.3">
      <c r="A282" s="17" t="s">
        <v>69</v>
      </c>
      <c r="B282" s="2"/>
      <c r="C282" s="2"/>
      <c r="D282" s="2"/>
      <c r="E282" s="2"/>
      <c r="F282" s="2"/>
      <c r="G282" s="2"/>
    </row>
    <row r="283" spans="1:7" ht="15.75" thickBot="1" x14ac:dyDescent="0.3">
      <c r="A283" s="42" t="s">
        <v>0</v>
      </c>
      <c r="B283" s="42" t="s">
        <v>1</v>
      </c>
      <c r="C283" s="1" t="s">
        <v>2</v>
      </c>
      <c r="D283" s="44" t="s">
        <v>4</v>
      </c>
      <c r="E283" s="45"/>
      <c r="F283" s="45"/>
      <c r="G283" s="46"/>
    </row>
    <row r="284" spans="1:7" ht="26.25" x14ac:dyDescent="0.25">
      <c r="A284" s="43"/>
      <c r="B284" s="43"/>
      <c r="C284" s="4" t="s">
        <v>3</v>
      </c>
      <c r="D284" s="4" t="s">
        <v>5</v>
      </c>
      <c r="E284" s="4" t="s">
        <v>6</v>
      </c>
      <c r="F284" s="4" t="s">
        <v>7</v>
      </c>
      <c r="G284" s="4" t="s">
        <v>8</v>
      </c>
    </row>
    <row r="285" spans="1:7" x14ac:dyDescent="0.25">
      <c r="A285" s="5" t="s">
        <v>93</v>
      </c>
      <c r="B285" s="7" t="s">
        <v>94</v>
      </c>
      <c r="C285" s="5">
        <v>250</v>
      </c>
      <c r="D285" s="5">
        <f>C285*31.1/1025</f>
        <v>7.5853658536585362</v>
      </c>
      <c r="E285" s="5">
        <f>C285*33/1025</f>
        <v>8.0487804878048781</v>
      </c>
      <c r="F285" s="5">
        <f>C285*156.2/1025</f>
        <v>38.097560975609753</v>
      </c>
      <c r="G285" s="5">
        <f>C285*1045/1025</f>
        <v>254.8780487804878</v>
      </c>
    </row>
    <row r="286" spans="1:7" x14ac:dyDescent="0.25">
      <c r="A286" s="5" t="s">
        <v>73</v>
      </c>
      <c r="B286" s="5" t="s">
        <v>74</v>
      </c>
      <c r="C286" s="5">
        <v>100</v>
      </c>
      <c r="D286" s="5">
        <f>C286*1.6/35</f>
        <v>4.5714285714285712</v>
      </c>
      <c r="E286" s="5">
        <f>C286*11/35</f>
        <v>31.428571428571427</v>
      </c>
      <c r="F286" s="5">
        <f>C286*10/35</f>
        <v>28.571428571428573</v>
      </c>
      <c r="G286" s="5">
        <f>C286*146/35</f>
        <v>417.14285714285717</v>
      </c>
    </row>
    <row r="287" spans="1:7" x14ac:dyDescent="0.25">
      <c r="A287" s="5" t="s">
        <v>75</v>
      </c>
      <c r="B287" s="5" t="s">
        <v>76</v>
      </c>
      <c r="C287" s="5">
        <v>200</v>
      </c>
      <c r="D287" s="5">
        <f>C287*3.3/200</f>
        <v>3.3</v>
      </c>
      <c r="E287" s="5">
        <f>C287*2.9/200</f>
        <v>2.9</v>
      </c>
      <c r="F287" s="5">
        <f>C287*13.8/200</f>
        <v>13.8</v>
      </c>
      <c r="G287" s="5">
        <f>C287*94/200</f>
        <v>94</v>
      </c>
    </row>
    <row r="288" spans="1:7" x14ac:dyDescent="0.25">
      <c r="A288" s="40" t="s">
        <v>70</v>
      </c>
      <c r="B288" s="41"/>
      <c r="C288" s="5">
        <f>SUM(C285:C287)</f>
        <v>550</v>
      </c>
      <c r="D288" s="5">
        <f>SUM(D285:D287)</f>
        <v>15.456794425087107</v>
      </c>
      <c r="E288" s="5">
        <f>SUM(E285:E287)</f>
        <v>42.377351916376305</v>
      </c>
      <c r="F288" s="5">
        <f>SUM(F285:F287)</f>
        <v>80.468989547038319</v>
      </c>
      <c r="G288" s="5">
        <f>SUM(G285:G287)</f>
        <v>766.02090592334503</v>
      </c>
    </row>
    <row r="291" spans="1:7" ht="15.75" thickBot="1" x14ac:dyDescent="0.3">
      <c r="A291" s="6" t="s">
        <v>10</v>
      </c>
      <c r="B291" s="16"/>
      <c r="C291" s="16"/>
      <c r="D291" s="16"/>
      <c r="E291" s="16"/>
      <c r="F291" s="16"/>
      <c r="G291" s="16"/>
    </row>
    <row r="292" spans="1:7" ht="15.75" thickBot="1" x14ac:dyDescent="0.3">
      <c r="A292" s="42" t="s">
        <v>0</v>
      </c>
      <c r="B292" s="42" t="s">
        <v>1</v>
      </c>
      <c r="C292" s="1" t="s">
        <v>2</v>
      </c>
      <c r="D292" s="44" t="s">
        <v>4</v>
      </c>
      <c r="E292" s="45"/>
      <c r="F292" s="45"/>
      <c r="G292" s="46"/>
    </row>
    <row r="293" spans="1:7" ht="26.25" x14ac:dyDescent="0.25">
      <c r="A293" s="43"/>
      <c r="B293" s="43"/>
      <c r="C293" s="4" t="s">
        <v>3</v>
      </c>
      <c r="D293" s="4" t="s">
        <v>5</v>
      </c>
      <c r="E293" s="4" t="s">
        <v>6</v>
      </c>
      <c r="F293" s="4" t="s">
        <v>7</v>
      </c>
      <c r="G293" s="4" t="s">
        <v>8</v>
      </c>
    </row>
    <row r="294" spans="1:7" x14ac:dyDescent="0.25">
      <c r="A294" s="34" t="s">
        <v>153</v>
      </c>
      <c r="B294" s="34" t="s">
        <v>152</v>
      </c>
      <c r="C294" s="5">
        <v>100</v>
      </c>
      <c r="D294" s="5">
        <v>2.1</v>
      </c>
      <c r="E294" s="5">
        <v>6.3</v>
      </c>
      <c r="F294" s="5">
        <v>8.1999999999999993</v>
      </c>
      <c r="G294" s="5">
        <v>98</v>
      </c>
    </row>
    <row r="295" spans="1:7" x14ac:dyDescent="0.25">
      <c r="A295" s="34" t="s">
        <v>41</v>
      </c>
      <c r="B295" s="34" t="s">
        <v>42</v>
      </c>
      <c r="C295" s="34">
        <v>250</v>
      </c>
      <c r="D295" s="34">
        <v>2.7749999999999999</v>
      </c>
      <c r="E295" s="34">
        <v>3.5249999999999999</v>
      </c>
      <c r="F295" s="34">
        <v>9.8000000000000007</v>
      </c>
      <c r="G295" s="34">
        <v>82</v>
      </c>
    </row>
    <row r="296" spans="1:7" ht="30" x14ac:dyDescent="0.25">
      <c r="A296" s="5" t="s">
        <v>38</v>
      </c>
      <c r="B296" s="7" t="s">
        <v>36</v>
      </c>
      <c r="C296" s="5">
        <v>100</v>
      </c>
      <c r="D296" s="5">
        <f>C296*14/70</f>
        <v>20</v>
      </c>
      <c r="E296" s="5">
        <f>C296*12.6/70</f>
        <v>18</v>
      </c>
      <c r="F296" s="5">
        <f>C296*7.5/70</f>
        <v>10.714285714285714</v>
      </c>
      <c r="G296" s="5">
        <f>C296*199/70</f>
        <v>284.28571428571428</v>
      </c>
    </row>
    <row r="297" spans="1:7" x14ac:dyDescent="0.25">
      <c r="A297" s="5" t="s">
        <v>33</v>
      </c>
      <c r="B297" s="5" t="s">
        <v>34</v>
      </c>
      <c r="C297" s="5">
        <v>200</v>
      </c>
      <c r="D297" s="5">
        <f>C297*2.7/100</f>
        <v>5.4</v>
      </c>
      <c r="E297" s="5">
        <f>C297*4/100</f>
        <v>8</v>
      </c>
      <c r="F297" s="5">
        <f>C297*5.8/100</f>
        <v>11.6</v>
      </c>
      <c r="G297" s="5">
        <f>C297*70/100</f>
        <v>140</v>
      </c>
    </row>
    <row r="298" spans="1:7" x14ac:dyDescent="0.25">
      <c r="A298" s="5" t="s">
        <v>22</v>
      </c>
      <c r="B298" s="5" t="s">
        <v>19</v>
      </c>
      <c r="C298" s="5">
        <v>200</v>
      </c>
      <c r="D298" s="5">
        <f>C298*0.2/200</f>
        <v>0.2</v>
      </c>
      <c r="E298" s="5">
        <f>C298*0.1/200</f>
        <v>0.1</v>
      </c>
      <c r="F298" s="5">
        <f>C298*9.3/200</f>
        <v>9.3000000000000007</v>
      </c>
      <c r="G298" s="5">
        <f>C298*38/200</f>
        <v>38</v>
      </c>
    </row>
    <row r="299" spans="1:7" x14ac:dyDescent="0.25">
      <c r="A299" s="5" t="s">
        <v>53</v>
      </c>
      <c r="B299" s="5" t="s">
        <v>54</v>
      </c>
      <c r="C299" s="5">
        <v>50</v>
      </c>
      <c r="D299" s="5">
        <f>C299*7.6/100</f>
        <v>3.8</v>
      </c>
      <c r="E299" s="5">
        <f>C299*0.8/100</f>
        <v>0.4</v>
      </c>
      <c r="F299" s="5">
        <f>C299*49.2/100</f>
        <v>24.6</v>
      </c>
      <c r="G299" s="5">
        <f>C299*234/100</f>
        <v>117</v>
      </c>
    </row>
    <row r="300" spans="1:7" x14ac:dyDescent="0.25">
      <c r="A300" s="11" t="s">
        <v>15</v>
      </c>
      <c r="B300" s="11" t="s">
        <v>16</v>
      </c>
      <c r="C300" s="11">
        <v>50</v>
      </c>
      <c r="D300" s="11">
        <f>C300*8/100</f>
        <v>4</v>
      </c>
      <c r="E300" s="11">
        <f>C300*1.5/100</f>
        <v>0.75</v>
      </c>
      <c r="F300" s="11">
        <f>C300*40.1/100</f>
        <v>20.05</v>
      </c>
      <c r="G300" s="11">
        <f>C300*206/100</f>
        <v>103</v>
      </c>
    </row>
    <row r="301" spans="1:7" x14ac:dyDescent="0.25">
      <c r="A301" s="40" t="s">
        <v>17</v>
      </c>
      <c r="B301" s="41"/>
      <c r="C301" s="5">
        <f>SUM(C294:C300)</f>
        <v>950</v>
      </c>
      <c r="D301" s="5">
        <f>SUM(D294:D300)</f>
        <v>38.274999999999999</v>
      </c>
      <c r="E301" s="5">
        <f>SUM(E294:E300)</f>
        <v>37.075000000000003</v>
      </c>
      <c r="F301" s="5">
        <f>SUM(F294:F300)</f>
        <v>94.26428571428572</v>
      </c>
      <c r="G301" s="5">
        <f>SUM(G294:G300)</f>
        <v>862.28571428571422</v>
      </c>
    </row>
    <row r="304" spans="1:7" x14ac:dyDescent="0.25">
      <c r="A304" s="40" t="s">
        <v>67</v>
      </c>
      <c r="B304" s="41"/>
      <c r="C304" s="5">
        <f>C288+C301</f>
        <v>1500</v>
      </c>
      <c r="D304" s="5">
        <f>D288+D301</f>
        <v>53.731794425087102</v>
      </c>
      <c r="E304" s="5">
        <f>E288+E301</f>
        <v>79.452351916376301</v>
      </c>
      <c r="F304" s="5">
        <f>F288+F301</f>
        <v>174.73327526132402</v>
      </c>
      <c r="G304" s="5">
        <f>G288+G301</f>
        <v>1628.3066202090592</v>
      </c>
    </row>
    <row r="307" spans="1:7" x14ac:dyDescent="0.25">
      <c r="A307" s="38" t="s">
        <v>68</v>
      </c>
      <c r="B307" s="39"/>
      <c r="C307" s="14">
        <f>(C24+C57+C90+C122+C152+C183+C214+C243+C275+C304)/10</f>
        <v>1489</v>
      </c>
      <c r="D307" s="14">
        <f>(D24+D57+D90+D122+D152+D183+D214+D243+D275+D304)/10</f>
        <v>52.951065181431034</v>
      </c>
      <c r="E307" s="14">
        <f>(E24+E57+E90+E122+E152+E183+E214+E243+E275+E304)/10</f>
        <v>70.441983979164462</v>
      </c>
      <c r="F307" s="14">
        <f>(F24+F57+F90+F122+F152+F183+F214+F243+F275+F304)/10</f>
        <v>194.02607005596028</v>
      </c>
      <c r="G307" s="14">
        <f>(G24+G57+G90+G122+G152+G183+G214+G243+G275+G304)/10</f>
        <v>1619.3421888572134</v>
      </c>
    </row>
  </sheetData>
  <mergeCells count="107">
    <mergeCell ref="A292:A293"/>
    <mergeCell ref="B292:B293"/>
    <mergeCell ref="D292:G292"/>
    <mergeCell ref="A301:B301"/>
    <mergeCell ref="A307:B307"/>
    <mergeCell ref="A304:B304"/>
    <mergeCell ref="A275:B275"/>
    <mergeCell ref="A283:A284"/>
    <mergeCell ref="B283:B284"/>
    <mergeCell ref="D283:G283"/>
    <mergeCell ref="A288:B288"/>
    <mergeCell ref="A258:B258"/>
    <mergeCell ref="A262:A263"/>
    <mergeCell ref="B262:B263"/>
    <mergeCell ref="D262:G262"/>
    <mergeCell ref="A272:B272"/>
    <mergeCell ref="A240:B240"/>
    <mergeCell ref="A243:B243"/>
    <mergeCell ref="A253:A254"/>
    <mergeCell ref="B253:B254"/>
    <mergeCell ref="D253:G253"/>
    <mergeCell ref="A227:B227"/>
    <mergeCell ref="A231:A232"/>
    <mergeCell ref="B231:B232"/>
    <mergeCell ref="D231:G231"/>
    <mergeCell ref="A200:A201"/>
    <mergeCell ref="B200:B201"/>
    <mergeCell ref="D200:G200"/>
    <mergeCell ref="A211:B211"/>
    <mergeCell ref="A214:B214"/>
    <mergeCell ref="A196:B196"/>
    <mergeCell ref="A167:B167"/>
    <mergeCell ref="A171:A172"/>
    <mergeCell ref="B171:B172"/>
    <mergeCell ref="D171:G171"/>
    <mergeCell ref="A180:B180"/>
    <mergeCell ref="A222:A223"/>
    <mergeCell ref="B222:B223"/>
    <mergeCell ref="D222:G222"/>
    <mergeCell ref="A87:B87"/>
    <mergeCell ref="A90:B90"/>
    <mergeCell ref="A100:A101"/>
    <mergeCell ref="B100:B101"/>
    <mergeCell ref="D100:G100"/>
    <mergeCell ref="A183:B183"/>
    <mergeCell ref="A191:A192"/>
    <mergeCell ref="B191:B192"/>
    <mergeCell ref="D191:G191"/>
    <mergeCell ref="A152:B152"/>
    <mergeCell ref="A162:A163"/>
    <mergeCell ref="B162:B163"/>
    <mergeCell ref="D162:G162"/>
    <mergeCell ref="A154:A155"/>
    <mergeCell ref="B154:B155"/>
    <mergeCell ref="D154:G154"/>
    <mergeCell ref="B92:B93"/>
    <mergeCell ref="D92:G92"/>
    <mergeCell ref="A105:B105"/>
    <mergeCell ref="A109:A110"/>
    <mergeCell ref="B109:B110"/>
    <mergeCell ref="D109:G109"/>
    <mergeCell ref="A150:B150"/>
    <mergeCell ref="A136:B136"/>
    <mergeCell ref="A140:A141"/>
    <mergeCell ref="B140:B141"/>
    <mergeCell ref="D140:G140"/>
    <mergeCell ref="A149:B149"/>
    <mergeCell ref="A119:B119"/>
    <mergeCell ref="A122:B122"/>
    <mergeCell ref="A131:A132"/>
    <mergeCell ref="B131:B132"/>
    <mergeCell ref="D131:G131"/>
    <mergeCell ref="A1:G1"/>
    <mergeCell ref="A28:A29"/>
    <mergeCell ref="B28:B29"/>
    <mergeCell ref="D28:G28"/>
    <mergeCell ref="A21:B21"/>
    <mergeCell ref="A12:A13"/>
    <mergeCell ref="B12:B13"/>
    <mergeCell ref="D12:G12"/>
    <mergeCell ref="A36:A37"/>
    <mergeCell ref="B36:B37"/>
    <mergeCell ref="D36:G36"/>
    <mergeCell ref="A58:B58"/>
    <mergeCell ref="A61:A62"/>
    <mergeCell ref="B61:B62"/>
    <mergeCell ref="D61:G61"/>
    <mergeCell ref="A57:B57"/>
    <mergeCell ref="A88:B88"/>
    <mergeCell ref="A92:A93"/>
    <mergeCell ref="A4:A5"/>
    <mergeCell ref="B4:B5"/>
    <mergeCell ref="D4:G4"/>
    <mergeCell ref="A9:B9"/>
    <mergeCell ref="A24:B24"/>
    <mergeCell ref="A42:B42"/>
    <mergeCell ref="A45:A46"/>
    <mergeCell ref="B45:B46"/>
    <mergeCell ref="D45:G45"/>
    <mergeCell ref="A54:B54"/>
    <mergeCell ref="A69:A70"/>
    <mergeCell ref="B69:B70"/>
    <mergeCell ref="D69:G69"/>
    <mergeCell ref="A74:B74"/>
    <mergeCell ref="A77:A78"/>
    <mergeCell ref="B77:B78"/>
    <mergeCell ref="D77:G77"/>
  </mergeCells>
  <pageMargins left="0.7" right="0.7" top="0.75" bottom="0.75" header="0.3" footer="0.3"/>
  <pageSetup paperSize="9" orientation="landscape" horizontalDpi="180" verticalDpi="180" r:id="rId1"/>
  <headerFooter>
    <oddHeader xml:space="preserve">&amp;L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1"/>
  <sheetViews>
    <sheetView tabSelected="1" view="pageLayout" zoomScaleNormal="100" workbookViewId="0">
      <selection activeCell="A123" sqref="A123:XFD123"/>
    </sheetView>
  </sheetViews>
  <sheetFormatPr defaultRowHeight="15" x14ac:dyDescent="0.25"/>
  <cols>
    <col min="1" max="1" width="13.28515625" customWidth="1"/>
    <col min="2" max="2" width="36.7109375" customWidth="1"/>
    <col min="4" max="4" width="13.5703125" customWidth="1"/>
    <col min="5" max="5" width="14.85546875" customWidth="1"/>
    <col min="6" max="6" width="20.42578125" customWidth="1"/>
    <col min="7" max="7" width="18.28515625" customWidth="1"/>
    <col min="11" max="11" width="16" customWidth="1"/>
  </cols>
  <sheetData>
    <row r="1" spans="1:7" x14ac:dyDescent="0.25">
      <c r="A1" s="47" t="s">
        <v>107</v>
      </c>
      <c r="B1" s="47"/>
      <c r="C1" s="47"/>
      <c r="D1" s="47"/>
      <c r="E1" s="47"/>
      <c r="F1" s="47"/>
      <c r="G1" s="47"/>
    </row>
    <row r="2" spans="1:7" x14ac:dyDescent="0.25">
      <c r="A2" s="2" t="s">
        <v>9</v>
      </c>
      <c r="B2" s="2"/>
      <c r="C2" s="2"/>
      <c r="D2" s="2"/>
      <c r="E2" s="2"/>
      <c r="F2" s="2"/>
      <c r="G2" s="2"/>
    </row>
    <row r="3" spans="1:7" ht="15.75" thickBot="1" x14ac:dyDescent="0.3">
      <c r="A3" s="6" t="s">
        <v>10</v>
      </c>
      <c r="B3" s="16"/>
      <c r="C3" s="16"/>
      <c r="D3" s="16"/>
      <c r="E3" s="16"/>
      <c r="F3" s="16"/>
      <c r="G3" s="16"/>
    </row>
    <row r="4" spans="1:7" ht="15.75" customHeight="1" thickBot="1" x14ac:dyDescent="0.3">
      <c r="A4" s="42" t="s">
        <v>0</v>
      </c>
      <c r="B4" s="42" t="s">
        <v>1</v>
      </c>
      <c r="C4" s="1" t="s">
        <v>2</v>
      </c>
      <c r="D4" s="44" t="s">
        <v>4</v>
      </c>
      <c r="E4" s="45"/>
      <c r="F4" s="45"/>
      <c r="G4" s="46"/>
    </row>
    <row r="5" spans="1:7" ht="26.25" x14ac:dyDescent="0.25">
      <c r="A5" s="43"/>
      <c r="B5" s="43"/>
      <c r="C5" s="4" t="s">
        <v>3</v>
      </c>
      <c r="D5" s="4" t="s">
        <v>5</v>
      </c>
      <c r="E5" s="4" t="s">
        <v>6</v>
      </c>
      <c r="F5" s="4" t="s">
        <v>7</v>
      </c>
      <c r="G5" s="4" t="s">
        <v>8</v>
      </c>
    </row>
    <row r="6" spans="1:7" x14ac:dyDescent="0.25">
      <c r="A6" s="5" t="s">
        <v>23</v>
      </c>
      <c r="B6" s="5" t="s">
        <v>24</v>
      </c>
      <c r="C6" s="5">
        <v>200</v>
      </c>
      <c r="D6" s="5">
        <v>1.48</v>
      </c>
      <c r="E6" s="5">
        <v>3.54</v>
      </c>
      <c r="F6" s="5">
        <v>5.56</v>
      </c>
      <c r="G6" s="5">
        <v>60</v>
      </c>
    </row>
    <row r="7" spans="1:7" x14ac:dyDescent="0.25">
      <c r="A7" s="5" t="s">
        <v>55</v>
      </c>
      <c r="B7" s="5" t="s">
        <v>56</v>
      </c>
      <c r="C7" s="5">
        <v>100</v>
      </c>
      <c r="D7" s="5">
        <f>C7*17.3/100</f>
        <v>17.3</v>
      </c>
      <c r="E7" s="5">
        <f>C7*21/100</f>
        <v>21</v>
      </c>
      <c r="F7" s="5">
        <f>C7*9.9/100</f>
        <v>9.9</v>
      </c>
      <c r="G7" s="5">
        <f>C7*298/100</f>
        <v>298</v>
      </c>
    </row>
    <row r="8" spans="1:7" x14ac:dyDescent="0.25">
      <c r="A8" s="5" t="s">
        <v>39</v>
      </c>
      <c r="B8" s="5" t="s">
        <v>37</v>
      </c>
      <c r="C8" s="5">
        <v>200</v>
      </c>
      <c r="D8" s="5">
        <f>C8*3.7/100</f>
        <v>7.4</v>
      </c>
      <c r="E8" s="5">
        <f>C8*3.3/100</f>
        <v>6.6</v>
      </c>
      <c r="F8" s="5">
        <f>C8*19.7/100</f>
        <v>39.4</v>
      </c>
      <c r="G8" s="5">
        <f>C8*123/100</f>
        <v>246</v>
      </c>
    </row>
    <row r="9" spans="1:7" x14ac:dyDescent="0.25">
      <c r="A9" s="5" t="s">
        <v>22</v>
      </c>
      <c r="B9" s="5" t="s">
        <v>19</v>
      </c>
      <c r="C9" s="5">
        <v>200</v>
      </c>
      <c r="D9" s="5">
        <f>C9*0.2/200</f>
        <v>0.2</v>
      </c>
      <c r="E9" s="5">
        <f>C9*0.1/200</f>
        <v>0.1</v>
      </c>
      <c r="F9" s="5">
        <f>C9*9.3/200</f>
        <v>9.3000000000000007</v>
      </c>
      <c r="G9" s="5">
        <f>C9*38/200</f>
        <v>38</v>
      </c>
    </row>
    <row r="10" spans="1:7" x14ac:dyDescent="0.25">
      <c r="A10" s="5" t="s">
        <v>53</v>
      </c>
      <c r="B10" s="5" t="s">
        <v>54</v>
      </c>
      <c r="C10" s="5">
        <v>50</v>
      </c>
      <c r="D10" s="5">
        <f>C10*7.6/100</f>
        <v>3.8</v>
      </c>
      <c r="E10" s="5">
        <f>C10*0.8/100</f>
        <v>0.4</v>
      </c>
      <c r="F10" s="5">
        <f>C10*49.2/100</f>
        <v>24.6</v>
      </c>
      <c r="G10" s="5">
        <f>C10*234/100</f>
        <v>117</v>
      </c>
    </row>
    <row r="11" spans="1:7" x14ac:dyDescent="0.25">
      <c r="A11" s="5" t="s">
        <v>15</v>
      </c>
      <c r="B11" s="5" t="s">
        <v>16</v>
      </c>
      <c r="C11" s="5">
        <v>50</v>
      </c>
      <c r="D11" s="5">
        <f>C11*8/100</f>
        <v>4</v>
      </c>
      <c r="E11" s="5">
        <f>C11*1.5/100</f>
        <v>0.75</v>
      </c>
      <c r="F11" s="5">
        <f>C11*40.1/100</f>
        <v>20.05</v>
      </c>
      <c r="G11" s="5">
        <f>C11*206/100</f>
        <v>103</v>
      </c>
    </row>
    <row r="12" spans="1:7" x14ac:dyDescent="0.25">
      <c r="A12" s="40" t="s">
        <v>67</v>
      </c>
      <c r="B12" s="41"/>
      <c r="C12" s="5">
        <f>SUM(C6:C11)</f>
        <v>800</v>
      </c>
      <c r="D12" s="5">
        <f>SUM(D6:D11)</f>
        <v>34.18</v>
      </c>
      <c r="E12" s="5">
        <f>SUM(E6:E11)</f>
        <v>32.39</v>
      </c>
      <c r="F12" s="5">
        <f>SUM(F6:F11)</f>
        <v>108.80999999999999</v>
      </c>
      <c r="G12" s="5">
        <f>SUM(G6:G11)</f>
        <v>862</v>
      </c>
    </row>
    <row r="13" spans="1:7" x14ac:dyDescent="0.25">
      <c r="A13" s="16"/>
      <c r="B13" s="16"/>
      <c r="C13" s="16"/>
      <c r="D13" s="16"/>
      <c r="E13" s="16"/>
      <c r="F13" s="16"/>
      <c r="G13" s="16"/>
    </row>
    <row r="14" spans="1:7" x14ac:dyDescent="0.25">
      <c r="A14" s="2" t="s">
        <v>18</v>
      </c>
      <c r="B14" s="2"/>
      <c r="C14" s="2"/>
      <c r="D14" s="2"/>
      <c r="E14" s="2"/>
      <c r="F14" s="2"/>
      <c r="G14" s="2"/>
    </row>
    <row r="15" spans="1:7" ht="15.75" thickBot="1" x14ac:dyDescent="0.3">
      <c r="A15" s="6" t="s">
        <v>10</v>
      </c>
      <c r="B15" s="16"/>
      <c r="C15" s="16"/>
      <c r="D15" s="16"/>
      <c r="E15" s="16"/>
      <c r="F15" s="16"/>
      <c r="G15" s="16"/>
    </row>
    <row r="16" spans="1:7" ht="15.75" thickBot="1" x14ac:dyDescent="0.3">
      <c r="A16" s="42" t="s">
        <v>0</v>
      </c>
      <c r="B16" s="42" t="s">
        <v>1</v>
      </c>
      <c r="C16" s="1" t="s">
        <v>2</v>
      </c>
      <c r="D16" s="44" t="s">
        <v>4</v>
      </c>
      <c r="E16" s="45"/>
      <c r="F16" s="45"/>
      <c r="G16" s="46"/>
    </row>
    <row r="17" spans="1:7" ht="26.25" x14ac:dyDescent="0.25">
      <c r="A17" s="43"/>
      <c r="B17" s="43"/>
      <c r="C17" s="4" t="s">
        <v>3</v>
      </c>
      <c r="D17" s="4" t="s">
        <v>5</v>
      </c>
      <c r="E17" s="4" t="s">
        <v>6</v>
      </c>
      <c r="F17" s="4" t="s">
        <v>7</v>
      </c>
      <c r="G17" s="4" t="s">
        <v>8</v>
      </c>
    </row>
    <row r="18" spans="1:7" x14ac:dyDescent="0.25">
      <c r="A18" s="5" t="s">
        <v>31</v>
      </c>
      <c r="B18" s="5" t="s">
        <v>32</v>
      </c>
      <c r="C18" s="5">
        <v>100</v>
      </c>
      <c r="D18" s="5">
        <f>C18*1.45/100</f>
        <v>1.45</v>
      </c>
      <c r="E18" s="5">
        <f>C18*6/100</f>
        <v>6</v>
      </c>
      <c r="F18" s="5">
        <f>C18*8.4/100</f>
        <v>8.4</v>
      </c>
      <c r="G18" s="5">
        <f>C18*94/100</f>
        <v>94</v>
      </c>
    </row>
    <row r="19" spans="1:7" x14ac:dyDescent="0.25">
      <c r="A19" s="5" t="s">
        <v>130</v>
      </c>
      <c r="B19" s="5" t="s">
        <v>131</v>
      </c>
      <c r="C19" s="5">
        <v>200</v>
      </c>
      <c r="D19" s="5">
        <v>6.4</v>
      </c>
      <c r="E19" s="5">
        <v>8.34</v>
      </c>
      <c r="F19" s="5">
        <v>1.32</v>
      </c>
      <c r="G19" s="5">
        <v>106</v>
      </c>
    </row>
    <row r="20" spans="1:7" x14ac:dyDescent="0.25">
      <c r="A20" s="5" t="s">
        <v>50</v>
      </c>
      <c r="B20" s="5" t="s">
        <v>49</v>
      </c>
      <c r="C20" s="5">
        <v>100</v>
      </c>
      <c r="D20" s="5">
        <f>C20*9/70</f>
        <v>12.857142857142858</v>
      </c>
      <c r="E20" s="5">
        <f>C20*1.1/70</f>
        <v>1.5714285714285716</v>
      </c>
      <c r="F20" s="5">
        <f>C20*7/70</f>
        <v>10</v>
      </c>
      <c r="G20" s="5">
        <f>C20*74/70</f>
        <v>105.71428571428571</v>
      </c>
    </row>
    <row r="21" spans="1:7" x14ac:dyDescent="0.25">
      <c r="A21" s="5" t="s">
        <v>57</v>
      </c>
      <c r="B21" s="5" t="s">
        <v>58</v>
      </c>
      <c r="C21" s="5">
        <v>200</v>
      </c>
      <c r="D21" s="5">
        <f>C21*25.1/1000</f>
        <v>5.0199999999999996</v>
      </c>
      <c r="E21" s="5">
        <f>C21*36.2/1000</f>
        <v>7.2400000000000011</v>
      </c>
      <c r="F21" s="5">
        <f>C21*259/1000</f>
        <v>51.8</v>
      </c>
      <c r="G21" s="5">
        <f>C21*1462/1000</f>
        <v>292.39999999999998</v>
      </c>
    </row>
    <row r="22" spans="1:7" x14ac:dyDescent="0.25">
      <c r="A22" s="5" t="s">
        <v>13</v>
      </c>
      <c r="B22" s="5" t="s">
        <v>14</v>
      </c>
      <c r="C22" s="5">
        <v>200</v>
      </c>
      <c r="D22" s="5">
        <f>C22*0.6/200</f>
        <v>0.6</v>
      </c>
      <c r="E22" s="5">
        <f>C22*0.1/200</f>
        <v>0.1</v>
      </c>
      <c r="F22" s="5">
        <f>C22*20.1/200</f>
        <v>20.100000000000001</v>
      </c>
      <c r="G22" s="5">
        <f>C22*84/200</f>
        <v>84</v>
      </c>
    </row>
    <row r="23" spans="1:7" x14ac:dyDescent="0.25">
      <c r="A23" s="5" t="s">
        <v>53</v>
      </c>
      <c r="B23" s="5" t="s">
        <v>54</v>
      </c>
      <c r="C23" s="5">
        <v>50</v>
      </c>
      <c r="D23" s="5">
        <f>C23*7.6/100</f>
        <v>3.8</v>
      </c>
      <c r="E23" s="5">
        <f>C23*0.8/100</f>
        <v>0.4</v>
      </c>
      <c r="F23" s="5">
        <f>C23*49.2/100</f>
        <v>24.6</v>
      </c>
      <c r="G23" s="5">
        <f>C23*234/100</f>
        <v>117</v>
      </c>
    </row>
    <row r="24" spans="1:7" x14ac:dyDescent="0.25">
      <c r="A24" s="5" t="s">
        <v>15</v>
      </c>
      <c r="B24" s="5" t="s">
        <v>16</v>
      </c>
      <c r="C24" s="5">
        <v>50</v>
      </c>
      <c r="D24" s="5">
        <f>C24*8/100</f>
        <v>4</v>
      </c>
      <c r="E24" s="5">
        <f>C24*1.5/100</f>
        <v>0.75</v>
      </c>
      <c r="F24" s="5">
        <f>C24*40.1/100</f>
        <v>20.05</v>
      </c>
      <c r="G24" s="5">
        <f>C24*206/100</f>
        <v>103</v>
      </c>
    </row>
    <row r="25" spans="1:7" hidden="1" x14ac:dyDescent="0.25">
      <c r="A25" s="5" t="s">
        <v>15</v>
      </c>
      <c r="B25" s="5" t="s">
        <v>16</v>
      </c>
      <c r="C25" s="5">
        <v>50</v>
      </c>
      <c r="D25" s="5">
        <f>C25*8/100</f>
        <v>4</v>
      </c>
      <c r="E25" s="5">
        <f>C25*1.5/100</f>
        <v>0.75</v>
      </c>
      <c r="F25" s="5">
        <f>C25*40.1/100</f>
        <v>20.05</v>
      </c>
      <c r="G25" s="5">
        <f>C25*206/100</f>
        <v>103</v>
      </c>
    </row>
    <row r="26" spans="1:7" hidden="1" x14ac:dyDescent="0.25">
      <c r="A26" s="40" t="s">
        <v>17</v>
      </c>
      <c r="B26" s="41"/>
      <c r="C26" s="5">
        <f>SUM(C18:C24)</f>
        <v>900</v>
      </c>
      <c r="D26" s="5">
        <f>SUM(D18:D24)</f>
        <v>34.127142857142857</v>
      </c>
      <c r="E26" s="5">
        <f>SUM(E18:E24)</f>
        <v>24.401428571428571</v>
      </c>
      <c r="F26" s="5">
        <f>SUM(F18:F24)</f>
        <v>136.27000000000001</v>
      </c>
      <c r="G26" s="5">
        <f>SUM(G18:G24)</f>
        <v>902.11428571428564</v>
      </c>
    </row>
    <row r="27" spans="1:7" x14ac:dyDescent="0.25">
      <c r="A27" s="40" t="s">
        <v>67</v>
      </c>
      <c r="B27" s="41"/>
      <c r="C27" s="5">
        <f>SUM(C26)</f>
        <v>900</v>
      </c>
      <c r="D27" s="5">
        <f>SUM(D26)</f>
        <v>34.127142857142857</v>
      </c>
      <c r="E27" s="28">
        <f>SUM(E26)</f>
        <v>24.401428571428571</v>
      </c>
      <c r="F27" s="5">
        <f>SUM(F26)</f>
        <v>136.27000000000001</v>
      </c>
      <c r="G27" s="28">
        <f>SUM(G26)</f>
        <v>902.11428571428564</v>
      </c>
    </row>
    <row r="33" spans="1:7" x14ac:dyDescent="0.25">
      <c r="A33" s="18"/>
      <c r="B33" s="18"/>
      <c r="C33" s="18"/>
      <c r="D33" s="18"/>
      <c r="E33" s="18"/>
      <c r="F33" s="18"/>
      <c r="G33" s="18"/>
    </row>
    <row r="34" spans="1:7" x14ac:dyDescent="0.25">
      <c r="A34" s="2" t="s">
        <v>25</v>
      </c>
      <c r="B34" s="2"/>
      <c r="C34" s="2"/>
      <c r="D34" s="2"/>
      <c r="E34" s="2"/>
      <c r="F34" s="2"/>
      <c r="G34" s="2"/>
    </row>
    <row r="35" spans="1:7" ht="15.75" thickBot="1" x14ac:dyDescent="0.3">
      <c r="A35" s="6" t="s">
        <v>10</v>
      </c>
      <c r="B35" s="16"/>
      <c r="C35" s="16"/>
      <c r="D35" s="16"/>
      <c r="E35" s="16"/>
      <c r="F35" s="16"/>
      <c r="G35" s="16"/>
    </row>
    <row r="36" spans="1:7" ht="15.75" thickBot="1" x14ac:dyDescent="0.3">
      <c r="A36" s="42" t="s">
        <v>0</v>
      </c>
      <c r="B36" s="42" t="s">
        <v>1</v>
      </c>
      <c r="C36" s="1" t="s">
        <v>2</v>
      </c>
      <c r="D36" s="44" t="s">
        <v>4</v>
      </c>
      <c r="E36" s="45"/>
      <c r="F36" s="45"/>
      <c r="G36" s="46"/>
    </row>
    <row r="37" spans="1:7" ht="26.25" x14ac:dyDescent="0.25">
      <c r="A37" s="43"/>
      <c r="B37" s="43"/>
      <c r="C37" s="4" t="s">
        <v>3</v>
      </c>
      <c r="D37" s="4" t="s">
        <v>5</v>
      </c>
      <c r="E37" s="4" t="s">
        <v>6</v>
      </c>
      <c r="F37" s="4" t="s">
        <v>7</v>
      </c>
      <c r="G37" s="4" t="s">
        <v>8</v>
      </c>
    </row>
    <row r="38" spans="1:7" x14ac:dyDescent="0.25">
      <c r="A38" s="5" t="s">
        <v>133</v>
      </c>
      <c r="B38" s="5" t="s">
        <v>132</v>
      </c>
      <c r="C38" s="5">
        <v>200</v>
      </c>
      <c r="D38" s="5">
        <v>7.1599999999999993</v>
      </c>
      <c r="E38" s="5">
        <v>7.6599999999999993</v>
      </c>
      <c r="F38" s="5">
        <v>6</v>
      </c>
      <c r="G38" s="5">
        <v>121.6</v>
      </c>
    </row>
    <row r="39" spans="1:7" x14ac:dyDescent="0.25">
      <c r="A39" s="5" t="s">
        <v>135</v>
      </c>
      <c r="B39" s="5" t="s">
        <v>134</v>
      </c>
      <c r="C39" s="5">
        <v>100</v>
      </c>
      <c r="D39" s="5">
        <v>10.5</v>
      </c>
      <c r="E39" s="5">
        <v>17.100000000000001</v>
      </c>
      <c r="F39" s="5">
        <v>0.2</v>
      </c>
      <c r="G39" s="5">
        <v>197</v>
      </c>
    </row>
    <row r="40" spans="1:7" x14ac:dyDescent="0.25">
      <c r="A40" s="5" t="s">
        <v>59</v>
      </c>
      <c r="B40" s="5" t="s">
        <v>60</v>
      </c>
      <c r="C40" s="5">
        <v>50</v>
      </c>
      <c r="D40" s="5">
        <f>C40*9.5/1000</f>
        <v>0.47499999999999998</v>
      </c>
      <c r="E40" s="5">
        <f>C40*32.8/1000</f>
        <v>1.6399999999999997</v>
      </c>
      <c r="F40" s="5">
        <f>C40*46/1000</f>
        <v>2.2999999999999998</v>
      </c>
      <c r="G40" s="5">
        <f>C40*519/1000</f>
        <v>25.95</v>
      </c>
    </row>
    <row r="41" spans="1:7" x14ac:dyDescent="0.25">
      <c r="A41" s="5" t="s">
        <v>61</v>
      </c>
      <c r="B41" s="5" t="s">
        <v>62</v>
      </c>
      <c r="C41" s="5">
        <v>200</v>
      </c>
      <c r="D41" s="5">
        <f>C41*60/1100</f>
        <v>10.909090909090908</v>
      </c>
      <c r="E41" s="5">
        <f>C41*33.8/1100</f>
        <v>6.1454545454545446</v>
      </c>
      <c r="F41" s="5">
        <f>C41*268.6/1100</f>
        <v>48.836363636363643</v>
      </c>
      <c r="G41" s="5">
        <f>C41*1620/1100</f>
        <v>294.54545454545456</v>
      </c>
    </row>
    <row r="42" spans="1:7" x14ac:dyDescent="0.25">
      <c r="A42" s="5" t="s">
        <v>22</v>
      </c>
      <c r="B42" s="5" t="s">
        <v>19</v>
      </c>
      <c r="C42" s="5">
        <v>200</v>
      </c>
      <c r="D42" s="5">
        <f>C42*0.2/200</f>
        <v>0.2</v>
      </c>
      <c r="E42" s="5">
        <f>C42*0.1/200</f>
        <v>0.1</v>
      </c>
      <c r="F42" s="5">
        <f>C42*9.3/200</f>
        <v>9.3000000000000007</v>
      </c>
      <c r="G42" s="5">
        <f>C42*38/200</f>
        <v>38</v>
      </c>
    </row>
    <row r="43" spans="1:7" x14ac:dyDescent="0.25">
      <c r="A43" s="5" t="s">
        <v>53</v>
      </c>
      <c r="B43" s="5" t="s">
        <v>54</v>
      </c>
      <c r="C43" s="5">
        <v>50</v>
      </c>
      <c r="D43" s="5">
        <f>C43*7.6/100</f>
        <v>3.8</v>
      </c>
      <c r="E43" s="5">
        <f>C43*0.8/100</f>
        <v>0.4</v>
      </c>
      <c r="F43" s="5">
        <f>C43*49.2/100</f>
        <v>24.6</v>
      </c>
      <c r="G43" s="5">
        <f>C43*234/100</f>
        <v>117</v>
      </c>
    </row>
    <row r="44" spans="1:7" x14ac:dyDescent="0.25">
      <c r="A44" s="5" t="s">
        <v>15</v>
      </c>
      <c r="B44" s="5" t="s">
        <v>16</v>
      </c>
      <c r="C44" s="5">
        <v>50</v>
      </c>
      <c r="D44" s="5">
        <f>C44*8/100</f>
        <v>4</v>
      </c>
      <c r="E44" s="5">
        <f>C44*1.5/100</f>
        <v>0.75</v>
      </c>
      <c r="F44" s="5">
        <f>C44*40.1/100</f>
        <v>20.05</v>
      </c>
      <c r="G44" s="5">
        <f>C44*206/100</f>
        <v>103</v>
      </c>
    </row>
    <row r="45" spans="1:7" x14ac:dyDescent="0.25">
      <c r="A45" s="40" t="s">
        <v>67</v>
      </c>
      <c r="B45" s="41"/>
      <c r="C45" s="5">
        <f>SUM(C38:C44)</f>
        <v>850</v>
      </c>
      <c r="D45" s="5">
        <f>SUM(D38:D44)</f>
        <v>37.044090909090912</v>
      </c>
      <c r="E45" s="5">
        <f>SUM(E38:E44)</f>
        <v>33.795454545454547</v>
      </c>
      <c r="F45" s="5">
        <f>SUM(F38:F44)</f>
        <v>111.28636363636365</v>
      </c>
      <c r="G45" s="5">
        <f>SUM(G38:G44)</f>
        <v>897.09545454545457</v>
      </c>
    </row>
    <row r="47" spans="1:7" x14ac:dyDescent="0.25">
      <c r="A47" s="2" t="s">
        <v>30</v>
      </c>
      <c r="B47" s="2"/>
      <c r="C47" s="2"/>
      <c r="D47" s="2"/>
      <c r="E47" s="2"/>
      <c r="F47" s="2"/>
      <c r="G47" s="2"/>
    </row>
    <row r="48" spans="1:7" ht="15.75" thickBot="1" x14ac:dyDescent="0.3">
      <c r="A48" s="6" t="s">
        <v>10</v>
      </c>
      <c r="B48" s="16"/>
      <c r="C48" s="16"/>
      <c r="D48" s="16"/>
      <c r="E48" s="16"/>
      <c r="F48" s="16"/>
      <c r="G48" s="16"/>
    </row>
    <row r="49" spans="1:7" ht="15.75" thickBot="1" x14ac:dyDescent="0.3">
      <c r="A49" s="42" t="s">
        <v>0</v>
      </c>
      <c r="B49" s="42" t="s">
        <v>1</v>
      </c>
      <c r="C49" s="1" t="s">
        <v>2</v>
      </c>
      <c r="D49" s="44" t="s">
        <v>4</v>
      </c>
      <c r="E49" s="45"/>
      <c r="F49" s="45"/>
      <c r="G49" s="46"/>
    </row>
    <row r="50" spans="1:7" ht="26.25" x14ac:dyDescent="0.25">
      <c r="A50" s="43"/>
      <c r="B50" s="43"/>
      <c r="C50" s="4" t="s">
        <v>3</v>
      </c>
      <c r="D50" s="4" t="s">
        <v>5</v>
      </c>
      <c r="E50" s="4" t="s">
        <v>6</v>
      </c>
      <c r="F50" s="4" t="s">
        <v>7</v>
      </c>
      <c r="G50" s="4" t="s">
        <v>8</v>
      </c>
    </row>
    <row r="51" spans="1:7" x14ac:dyDescent="0.25">
      <c r="A51" s="5" t="s">
        <v>45</v>
      </c>
      <c r="B51" s="5" t="s">
        <v>46</v>
      </c>
      <c r="C51" s="5">
        <v>250</v>
      </c>
      <c r="D51" s="5">
        <f>C51*10.5/1000</f>
        <v>2.625</v>
      </c>
      <c r="E51" s="5">
        <f>C51*20.4/1000</f>
        <v>5.0999999999999996</v>
      </c>
      <c r="F51" s="5">
        <f>C51*53/1000</f>
        <v>13.25</v>
      </c>
      <c r="G51" s="5">
        <f>C51*438/1000</f>
        <v>109.5</v>
      </c>
    </row>
    <row r="52" spans="1:7" x14ac:dyDescent="0.25">
      <c r="A52" s="5" t="s">
        <v>138</v>
      </c>
      <c r="B52" s="5" t="s">
        <v>137</v>
      </c>
      <c r="C52" s="5">
        <v>100</v>
      </c>
      <c r="D52" s="5">
        <v>11.5</v>
      </c>
      <c r="E52" s="5">
        <v>10.3</v>
      </c>
      <c r="F52" s="5">
        <v>5.4</v>
      </c>
      <c r="G52" s="5">
        <v>160</v>
      </c>
    </row>
    <row r="53" spans="1:7" x14ac:dyDescent="0.25">
      <c r="A53" s="5" t="s">
        <v>104</v>
      </c>
      <c r="B53" s="5" t="s">
        <v>103</v>
      </c>
      <c r="C53" s="5">
        <v>50</v>
      </c>
      <c r="D53" s="5">
        <f>C53*29.5/1000</f>
        <v>1.4750000000000001</v>
      </c>
      <c r="E53" s="5">
        <f>C53*186.9/1000</f>
        <v>9.3450000000000006</v>
      </c>
      <c r="F53" s="5">
        <f>C53*48.5/1000</f>
        <v>2.4249999999999998</v>
      </c>
      <c r="G53" s="5">
        <f>C53*1994/1000</f>
        <v>99.7</v>
      </c>
    </row>
    <row r="54" spans="1:7" x14ac:dyDescent="0.25">
      <c r="A54" s="5" t="s">
        <v>39</v>
      </c>
      <c r="B54" s="5" t="s">
        <v>37</v>
      </c>
      <c r="C54" s="5">
        <v>200</v>
      </c>
      <c r="D54" s="5">
        <f>C54*3.7/100</f>
        <v>7.4</v>
      </c>
      <c r="E54" s="5">
        <f>C54*3.3/100</f>
        <v>6.6</v>
      </c>
      <c r="F54" s="5">
        <f>C54*19.7/100</f>
        <v>39.4</v>
      </c>
      <c r="G54" s="5">
        <f>C54*123/100</f>
        <v>246</v>
      </c>
    </row>
    <row r="55" spans="1:7" x14ac:dyDescent="0.25">
      <c r="A55" s="5" t="s">
        <v>22</v>
      </c>
      <c r="B55" s="5" t="s">
        <v>19</v>
      </c>
      <c r="C55" s="5">
        <v>200</v>
      </c>
      <c r="D55" s="5">
        <f>C55*0.2/200</f>
        <v>0.2</v>
      </c>
      <c r="E55" s="5">
        <f>C55*0.1/200</f>
        <v>0.1</v>
      </c>
      <c r="F55" s="5">
        <f>C55*9.3/200</f>
        <v>9.3000000000000007</v>
      </c>
      <c r="G55" s="5">
        <f>C55*38/200</f>
        <v>38</v>
      </c>
    </row>
    <row r="56" spans="1:7" x14ac:dyDescent="0.25">
      <c r="A56" s="5" t="s">
        <v>53</v>
      </c>
      <c r="B56" s="5" t="s">
        <v>54</v>
      </c>
      <c r="C56" s="5">
        <v>50</v>
      </c>
      <c r="D56" s="5">
        <f>C56*7.6/100</f>
        <v>3.8</v>
      </c>
      <c r="E56" s="5">
        <f>C56*0.8/100</f>
        <v>0.4</v>
      </c>
      <c r="F56" s="5">
        <f>C56*49.2/100</f>
        <v>24.6</v>
      </c>
      <c r="G56" s="5">
        <f>C56*234/100</f>
        <v>117</v>
      </c>
    </row>
    <row r="57" spans="1:7" x14ac:dyDescent="0.25">
      <c r="A57" s="5" t="s">
        <v>15</v>
      </c>
      <c r="B57" s="5" t="s">
        <v>16</v>
      </c>
      <c r="C57" s="5">
        <v>50</v>
      </c>
      <c r="D57" s="5">
        <f>C57*8/100</f>
        <v>4</v>
      </c>
      <c r="E57" s="5">
        <f>C57*1.5/100</f>
        <v>0.75</v>
      </c>
      <c r="F57" s="5">
        <f>C57*40.1/100</f>
        <v>20.05</v>
      </c>
      <c r="G57" s="5">
        <f>C57*206/100</f>
        <v>103</v>
      </c>
    </row>
    <row r="58" spans="1:7" x14ac:dyDescent="0.25">
      <c r="A58" s="40" t="s">
        <v>67</v>
      </c>
      <c r="B58" s="41"/>
      <c r="C58" s="5">
        <f>SUM(C51:C57)</f>
        <v>900</v>
      </c>
      <c r="D58" s="5">
        <f>SUM(D51:D57)</f>
        <v>31</v>
      </c>
      <c r="E58" s="28">
        <f>SUM(E51:E57)</f>
        <v>32.594999999999999</v>
      </c>
      <c r="F58" s="5">
        <f>SUM(F51:F57)</f>
        <v>114.425</v>
      </c>
      <c r="G58" s="5">
        <f>SUM(G51:G57)</f>
        <v>873.2</v>
      </c>
    </row>
    <row r="60" spans="1:7" x14ac:dyDescent="0.25">
      <c r="A60" s="18"/>
      <c r="B60" s="18"/>
      <c r="C60" s="18"/>
      <c r="D60" s="18"/>
      <c r="E60" s="18"/>
      <c r="F60" s="18"/>
      <c r="G60" s="18"/>
    </row>
    <row r="65" spans="1:7" x14ac:dyDescent="0.25">
      <c r="A65" s="2" t="s">
        <v>35</v>
      </c>
      <c r="B65" s="2"/>
      <c r="C65" s="2"/>
      <c r="D65" s="2"/>
      <c r="E65" s="2"/>
      <c r="F65" s="2"/>
      <c r="G65" s="2"/>
    </row>
    <row r="66" spans="1:7" ht="15.75" thickBot="1" x14ac:dyDescent="0.3">
      <c r="A66" s="6" t="s">
        <v>10</v>
      </c>
      <c r="B66" s="16"/>
      <c r="C66" s="16"/>
      <c r="D66" s="16"/>
      <c r="E66" s="16"/>
      <c r="F66" s="16"/>
      <c r="G66" s="16"/>
    </row>
    <row r="67" spans="1:7" ht="15.75" thickBot="1" x14ac:dyDescent="0.3">
      <c r="A67" s="42" t="s">
        <v>0</v>
      </c>
      <c r="B67" s="42" t="s">
        <v>1</v>
      </c>
      <c r="C67" s="1" t="s">
        <v>2</v>
      </c>
      <c r="D67" s="44" t="s">
        <v>4</v>
      </c>
      <c r="E67" s="45"/>
      <c r="F67" s="45"/>
      <c r="G67" s="46"/>
    </row>
    <row r="68" spans="1:7" ht="26.25" x14ac:dyDescent="0.25">
      <c r="A68" s="43"/>
      <c r="B68" s="43"/>
      <c r="C68" s="4" t="s">
        <v>3</v>
      </c>
      <c r="D68" s="4" t="s">
        <v>5</v>
      </c>
      <c r="E68" s="4" t="s">
        <v>6</v>
      </c>
      <c r="F68" s="4" t="s">
        <v>7</v>
      </c>
      <c r="G68" s="4" t="s">
        <v>8</v>
      </c>
    </row>
    <row r="69" spans="1:7" x14ac:dyDescent="0.25">
      <c r="A69" s="5" t="s">
        <v>63</v>
      </c>
      <c r="B69" s="5" t="s">
        <v>64</v>
      </c>
      <c r="C69" s="5">
        <v>100</v>
      </c>
      <c r="D69" s="5">
        <f>C69*0.7/100</f>
        <v>0.7</v>
      </c>
      <c r="E69" s="5">
        <f>C69*6/100</f>
        <v>6</v>
      </c>
      <c r="F69" s="5">
        <f>C69*1.8/100</f>
        <v>1.8</v>
      </c>
      <c r="G69" s="5">
        <f>C69*64/100</f>
        <v>64</v>
      </c>
    </row>
    <row r="70" spans="1:7" x14ac:dyDescent="0.25">
      <c r="A70" s="5" t="s">
        <v>52</v>
      </c>
      <c r="B70" s="5" t="s">
        <v>51</v>
      </c>
      <c r="C70" s="5">
        <v>250</v>
      </c>
      <c r="D70" s="5">
        <f>C70*9.3/1000</f>
        <v>2.3250000000000002</v>
      </c>
      <c r="E70" s="5">
        <f>C70*18.9/1000</f>
        <v>4.7249999999999996</v>
      </c>
      <c r="F70" s="5">
        <f>C70*41.3/1000</f>
        <v>10.324999999999999</v>
      </c>
      <c r="G70" s="5">
        <f>C70*373/1000</f>
        <v>93.25</v>
      </c>
    </row>
    <row r="71" spans="1:7" x14ac:dyDescent="0.25">
      <c r="A71" s="5" t="s">
        <v>127</v>
      </c>
      <c r="B71" s="5" t="s">
        <v>128</v>
      </c>
      <c r="C71" s="5">
        <v>100</v>
      </c>
      <c r="D71" s="5">
        <v>11</v>
      </c>
      <c r="E71" s="5">
        <v>12.4</v>
      </c>
      <c r="F71" s="5">
        <v>4</v>
      </c>
      <c r="G71" s="5">
        <v>173</v>
      </c>
    </row>
    <row r="72" spans="1:7" x14ac:dyDescent="0.25">
      <c r="A72" s="5" t="s">
        <v>57</v>
      </c>
      <c r="B72" s="5" t="s">
        <v>58</v>
      </c>
      <c r="C72" s="5">
        <v>200</v>
      </c>
      <c r="D72" s="5">
        <f>C72*25.1/1000</f>
        <v>5.0199999999999996</v>
      </c>
      <c r="E72" s="5">
        <f>C72*36.2/1000</f>
        <v>7.2400000000000011</v>
      </c>
      <c r="F72" s="5">
        <f>C72*259/1000</f>
        <v>51.8</v>
      </c>
      <c r="G72" s="5">
        <f>C72*1462/1000</f>
        <v>292.39999999999998</v>
      </c>
    </row>
    <row r="73" spans="1:7" x14ac:dyDescent="0.25">
      <c r="A73" s="5" t="s">
        <v>13</v>
      </c>
      <c r="B73" s="5" t="s">
        <v>14</v>
      </c>
      <c r="C73" s="5">
        <v>200</v>
      </c>
      <c r="D73" s="5">
        <v>0.6</v>
      </c>
      <c r="E73" s="5">
        <v>0.1</v>
      </c>
      <c r="F73" s="5">
        <v>20.100000000000001</v>
      </c>
      <c r="G73" s="5">
        <v>84</v>
      </c>
    </row>
    <row r="74" spans="1:7" x14ac:dyDescent="0.25">
      <c r="A74" s="5" t="s">
        <v>53</v>
      </c>
      <c r="B74" s="5" t="s">
        <v>54</v>
      </c>
      <c r="C74" s="5">
        <v>100</v>
      </c>
      <c r="D74" s="5">
        <f>C74*7.6/100</f>
        <v>7.6</v>
      </c>
      <c r="E74" s="5">
        <f>C74*0.8/100</f>
        <v>0.8</v>
      </c>
      <c r="F74" s="5">
        <f>C74*49.2/100</f>
        <v>49.2</v>
      </c>
      <c r="G74" s="5">
        <f>C74*234/100</f>
        <v>234</v>
      </c>
    </row>
    <row r="75" spans="1:7" x14ac:dyDescent="0.25">
      <c r="A75" s="5" t="s">
        <v>15</v>
      </c>
      <c r="B75" s="5" t="s">
        <v>16</v>
      </c>
      <c r="C75" s="5">
        <v>50</v>
      </c>
      <c r="D75" s="5">
        <f>C75*8/100</f>
        <v>4</v>
      </c>
      <c r="E75" s="5">
        <f>C75*1.5/100</f>
        <v>0.75</v>
      </c>
      <c r="F75" s="5">
        <f>C75*40.1/100</f>
        <v>20.05</v>
      </c>
      <c r="G75" s="5">
        <f>C75*206/100</f>
        <v>103</v>
      </c>
    </row>
    <row r="76" spans="1:7" x14ac:dyDescent="0.25">
      <c r="A76" s="40" t="s">
        <v>67</v>
      </c>
      <c r="B76" s="41"/>
      <c r="C76" s="5">
        <f>SUM(C69:C75)</f>
        <v>1000</v>
      </c>
      <c r="D76" s="5">
        <f>SUM(D69:D75)</f>
        <v>31.245000000000005</v>
      </c>
      <c r="E76" s="28">
        <f>SUM(E69:E75)</f>
        <v>32.015000000000001</v>
      </c>
      <c r="F76" s="28">
        <f>SUM(F69:F75)</f>
        <v>157.27500000000003</v>
      </c>
      <c r="G76" s="28">
        <f>SUM(G69:G75)</f>
        <v>1043.6500000000001</v>
      </c>
    </row>
    <row r="78" spans="1:7" x14ac:dyDescent="0.25">
      <c r="A78" s="2" t="s">
        <v>40</v>
      </c>
      <c r="B78" s="2"/>
      <c r="C78" s="2"/>
      <c r="D78" s="2"/>
      <c r="E78" s="2"/>
      <c r="F78" s="2"/>
      <c r="G78" s="2"/>
    </row>
    <row r="79" spans="1:7" ht="15.75" thickBot="1" x14ac:dyDescent="0.3">
      <c r="A79" s="6" t="s">
        <v>10</v>
      </c>
      <c r="B79" s="16"/>
      <c r="C79" s="16"/>
      <c r="D79" s="16"/>
      <c r="E79" s="16"/>
      <c r="F79" s="16"/>
      <c r="G79" s="16"/>
    </row>
    <row r="80" spans="1:7" ht="15.75" thickBot="1" x14ac:dyDescent="0.3">
      <c r="A80" s="42" t="s">
        <v>0</v>
      </c>
      <c r="B80" s="42" t="s">
        <v>1</v>
      </c>
      <c r="C80" s="1" t="s">
        <v>2</v>
      </c>
      <c r="D80" s="44" t="s">
        <v>4</v>
      </c>
      <c r="E80" s="45"/>
      <c r="F80" s="45"/>
      <c r="G80" s="46"/>
    </row>
    <row r="81" spans="1:7" ht="26.25" x14ac:dyDescent="0.25">
      <c r="A81" s="43"/>
      <c r="B81" s="43"/>
      <c r="C81" s="4" t="s">
        <v>3</v>
      </c>
      <c r="D81" s="4" t="s">
        <v>5</v>
      </c>
      <c r="E81" s="4" t="s">
        <v>6</v>
      </c>
      <c r="F81" s="4" t="s">
        <v>7</v>
      </c>
      <c r="G81" s="4" t="s">
        <v>8</v>
      </c>
    </row>
    <row r="82" spans="1:7" ht="30" x14ac:dyDescent="0.25">
      <c r="A82" s="5" t="s">
        <v>26</v>
      </c>
      <c r="B82" s="7" t="s">
        <v>27</v>
      </c>
      <c r="C82" s="5">
        <v>250</v>
      </c>
      <c r="D82" s="5">
        <f>C82*11.6/1000</f>
        <v>2.9</v>
      </c>
      <c r="E82" s="5">
        <f>C82*16.6/1000</f>
        <v>4.1500000000000004</v>
      </c>
      <c r="F82" s="5">
        <f>C82*48.8/1000</f>
        <v>12.2</v>
      </c>
      <c r="G82" s="5">
        <f>C82*391/1000</f>
        <v>97.75</v>
      </c>
    </row>
    <row r="83" spans="1:7" x14ac:dyDescent="0.25">
      <c r="A83" s="5" t="s">
        <v>28</v>
      </c>
      <c r="B83" s="5" t="s">
        <v>29</v>
      </c>
      <c r="C83" s="5">
        <v>250</v>
      </c>
      <c r="D83" s="5">
        <f>C83*21/200</f>
        <v>26.25</v>
      </c>
      <c r="E83" s="5">
        <f>C83*19/200</f>
        <v>23.75</v>
      </c>
      <c r="F83" s="5">
        <f>C83*15.9/200</f>
        <v>19.875</v>
      </c>
      <c r="G83" s="5">
        <f>C83*319/200</f>
        <v>398.75</v>
      </c>
    </row>
    <row r="84" spans="1:7" x14ac:dyDescent="0.25">
      <c r="A84" s="5" t="s">
        <v>22</v>
      </c>
      <c r="B84" s="5" t="s">
        <v>19</v>
      </c>
      <c r="C84" s="5">
        <v>200</v>
      </c>
      <c r="D84" s="5">
        <f>C84*0.2/200</f>
        <v>0.2</v>
      </c>
      <c r="E84" s="5">
        <f>C84*0.1/200</f>
        <v>0.1</v>
      </c>
      <c r="F84" s="5">
        <f>C84*9.3/200</f>
        <v>9.3000000000000007</v>
      </c>
      <c r="G84" s="5">
        <f>C84*38/200</f>
        <v>38</v>
      </c>
    </row>
    <row r="85" spans="1:7" x14ac:dyDescent="0.25">
      <c r="A85" s="5" t="s">
        <v>53</v>
      </c>
      <c r="B85" s="5" t="s">
        <v>54</v>
      </c>
      <c r="C85" s="5">
        <v>100</v>
      </c>
      <c r="D85" s="5">
        <f>C85*7.6/100</f>
        <v>7.6</v>
      </c>
      <c r="E85" s="5">
        <f>C85*0.8/100</f>
        <v>0.8</v>
      </c>
      <c r="F85" s="5">
        <f>C85*49.2/100</f>
        <v>49.2</v>
      </c>
      <c r="G85" s="5">
        <f>C85*234/100</f>
        <v>234</v>
      </c>
    </row>
    <row r="86" spans="1:7" x14ac:dyDescent="0.25">
      <c r="A86" s="5" t="s">
        <v>15</v>
      </c>
      <c r="B86" s="5" t="s">
        <v>16</v>
      </c>
      <c r="C86" s="5">
        <v>50</v>
      </c>
      <c r="D86" s="5">
        <f>C86*8/100</f>
        <v>4</v>
      </c>
      <c r="E86" s="5">
        <f>C86*1.5/100</f>
        <v>0.75</v>
      </c>
      <c r="F86" s="5">
        <f>C86*40.1/100</f>
        <v>20.05</v>
      </c>
      <c r="G86" s="5">
        <f>C86*206/100</f>
        <v>103</v>
      </c>
    </row>
    <row r="87" spans="1:7" x14ac:dyDescent="0.25">
      <c r="A87" s="5" t="s">
        <v>21</v>
      </c>
      <c r="B87" s="5" t="s">
        <v>20</v>
      </c>
      <c r="C87" s="5">
        <v>100</v>
      </c>
      <c r="D87" s="5">
        <f>C87*0.4/100</f>
        <v>0.4</v>
      </c>
      <c r="E87" s="5">
        <f>C87*0.4/100</f>
        <v>0.4</v>
      </c>
      <c r="F87" s="15">
        <f>C87*9.8/100</f>
        <v>9.8000000000000007</v>
      </c>
      <c r="G87" s="5">
        <f>C87*44/100</f>
        <v>44</v>
      </c>
    </row>
    <row r="88" spans="1:7" x14ac:dyDescent="0.25">
      <c r="A88" s="40" t="s">
        <v>67</v>
      </c>
      <c r="B88" s="41"/>
      <c r="C88" s="5">
        <f>SUM(C82:C87)</f>
        <v>950</v>
      </c>
      <c r="D88" s="5">
        <f>SUM(D82:D87)</f>
        <v>41.349999999999994</v>
      </c>
      <c r="E88" s="5">
        <f>SUM(E82:E87)</f>
        <v>29.95</v>
      </c>
      <c r="F88" s="28">
        <f>SUM(F82:F87)</f>
        <v>120.425</v>
      </c>
      <c r="G88" s="5">
        <f>SUM(G82:G87)</f>
        <v>915.5</v>
      </c>
    </row>
    <row r="91" spans="1:7" x14ac:dyDescent="0.25">
      <c r="A91" s="18"/>
      <c r="B91" s="18"/>
      <c r="C91" s="18"/>
      <c r="D91" s="18"/>
      <c r="E91" s="18"/>
      <c r="F91" s="18"/>
      <c r="G91" s="18"/>
    </row>
    <row r="93" spans="1:7" x14ac:dyDescent="0.25">
      <c r="A93" s="18"/>
      <c r="B93" s="18"/>
      <c r="C93" s="18"/>
      <c r="D93" s="18"/>
      <c r="E93" s="18"/>
      <c r="F93" s="18"/>
      <c r="G93" s="18"/>
    </row>
    <row r="95" spans="1:7" x14ac:dyDescent="0.25">
      <c r="A95" s="2" t="s">
        <v>43</v>
      </c>
      <c r="B95" s="2"/>
      <c r="C95" s="2"/>
      <c r="D95" s="2"/>
      <c r="E95" s="2"/>
      <c r="F95" s="2"/>
      <c r="G95" s="2"/>
    </row>
    <row r="96" spans="1:7" ht="15.75" thickBot="1" x14ac:dyDescent="0.3">
      <c r="A96" s="6" t="s">
        <v>10</v>
      </c>
      <c r="B96" s="16"/>
      <c r="C96" s="16"/>
      <c r="D96" s="16"/>
      <c r="E96" s="16"/>
      <c r="F96" s="16"/>
      <c r="G96" s="16"/>
    </row>
    <row r="97" spans="1:7" ht="15.75" thickBot="1" x14ac:dyDescent="0.3">
      <c r="A97" s="42" t="s">
        <v>0</v>
      </c>
      <c r="B97" s="42" t="s">
        <v>1</v>
      </c>
      <c r="C97" s="1" t="s">
        <v>2</v>
      </c>
      <c r="D97" s="44" t="s">
        <v>4</v>
      </c>
      <c r="E97" s="45"/>
      <c r="F97" s="45"/>
      <c r="G97" s="46"/>
    </row>
    <row r="98" spans="1:7" ht="26.25" x14ac:dyDescent="0.25">
      <c r="A98" s="43"/>
      <c r="B98" s="43"/>
      <c r="C98" s="4" t="s">
        <v>3</v>
      </c>
      <c r="D98" s="4" t="s">
        <v>5</v>
      </c>
      <c r="E98" s="4" t="s">
        <v>6</v>
      </c>
      <c r="F98" s="4" t="s">
        <v>7</v>
      </c>
      <c r="G98" s="4" t="s">
        <v>8</v>
      </c>
    </row>
    <row r="99" spans="1:7" x14ac:dyDescent="0.25">
      <c r="A99" s="5" t="s">
        <v>11</v>
      </c>
      <c r="B99" s="5" t="s">
        <v>12</v>
      </c>
      <c r="C99" s="5">
        <v>250</v>
      </c>
      <c r="D99" s="5">
        <f>C99*6/1000</f>
        <v>1.5</v>
      </c>
      <c r="E99" s="5">
        <f>C99*18/1000</f>
        <v>4.5</v>
      </c>
      <c r="F99" s="5">
        <f>C99*15.2/1000</f>
        <v>3.8</v>
      </c>
      <c r="G99" s="5">
        <f>C99*247/1000</f>
        <v>61.75</v>
      </c>
    </row>
    <row r="100" spans="1:7" x14ac:dyDescent="0.25">
      <c r="A100" s="5" t="s">
        <v>55</v>
      </c>
      <c r="B100" s="5" t="s">
        <v>56</v>
      </c>
      <c r="C100" s="5">
        <v>100</v>
      </c>
      <c r="D100" s="5">
        <f>C100*17.3/100</f>
        <v>17.3</v>
      </c>
      <c r="E100" s="5">
        <f>C100*21/100</f>
        <v>21</v>
      </c>
      <c r="F100" s="5">
        <f>C100*9.9/100</f>
        <v>9.9</v>
      </c>
      <c r="G100" s="5">
        <f>C100*298/100</f>
        <v>298</v>
      </c>
    </row>
    <row r="101" spans="1:7" x14ac:dyDescent="0.25">
      <c r="A101" s="5" t="s">
        <v>33</v>
      </c>
      <c r="B101" s="5" t="s">
        <v>34</v>
      </c>
      <c r="C101" s="5">
        <v>200</v>
      </c>
      <c r="D101" s="5">
        <f>C101*2.7/100</f>
        <v>5.4</v>
      </c>
      <c r="E101" s="5">
        <f>C101*4/100</f>
        <v>8</v>
      </c>
      <c r="F101" s="5">
        <f>C101*5.8/100</f>
        <v>11.6</v>
      </c>
      <c r="G101" s="5">
        <f>C101*70/100</f>
        <v>140</v>
      </c>
    </row>
    <row r="102" spans="1:7" x14ac:dyDescent="0.25">
      <c r="A102" s="5" t="s">
        <v>13</v>
      </c>
      <c r="B102" s="5" t="s">
        <v>14</v>
      </c>
      <c r="C102" s="5">
        <v>200</v>
      </c>
      <c r="D102" s="5">
        <f>C102*0.6/200</f>
        <v>0.6</v>
      </c>
      <c r="E102" s="5">
        <f>C102*0.1/200</f>
        <v>0.1</v>
      </c>
      <c r="F102" s="5">
        <f>C102*20.1/200</f>
        <v>20.100000000000001</v>
      </c>
      <c r="G102" s="5">
        <f>C102*84/200</f>
        <v>84</v>
      </c>
    </row>
    <row r="103" spans="1:7" x14ac:dyDescent="0.25">
      <c r="A103" s="5" t="s">
        <v>53</v>
      </c>
      <c r="B103" s="5" t="s">
        <v>54</v>
      </c>
      <c r="C103" s="5">
        <v>50</v>
      </c>
      <c r="D103" s="5">
        <f>C103*7.6/100</f>
        <v>3.8</v>
      </c>
      <c r="E103" s="5">
        <f>C103*0.8/100</f>
        <v>0.4</v>
      </c>
      <c r="F103" s="5">
        <f>C103*49.2/100</f>
        <v>24.6</v>
      </c>
      <c r="G103" s="5">
        <f>C103*234/100</f>
        <v>117</v>
      </c>
    </row>
    <row r="104" spans="1:7" x14ac:dyDescent="0.25">
      <c r="A104" s="11" t="s">
        <v>15</v>
      </c>
      <c r="B104" s="11" t="s">
        <v>16</v>
      </c>
      <c r="C104" s="5">
        <v>50</v>
      </c>
      <c r="D104" s="5">
        <f>C104*8/100</f>
        <v>4</v>
      </c>
      <c r="E104" s="5">
        <f>C104*1.5/100</f>
        <v>0.75</v>
      </c>
      <c r="F104" s="5">
        <f>C104*40.1/100</f>
        <v>20.05</v>
      </c>
      <c r="G104" s="5">
        <f>C104*206/100</f>
        <v>103</v>
      </c>
    </row>
    <row r="105" spans="1:7" x14ac:dyDescent="0.25">
      <c r="A105" s="40" t="s">
        <v>67</v>
      </c>
      <c r="B105" s="41"/>
      <c r="C105" s="12">
        <f>SUM(C99:C104)</f>
        <v>850</v>
      </c>
      <c r="D105" s="12">
        <f>SUM(D99:D104)</f>
        <v>32.600000000000009</v>
      </c>
      <c r="E105" s="12">
        <f>SUM(E99:E104)</f>
        <v>34.75</v>
      </c>
      <c r="F105" s="12">
        <f>SUM(F99:F104)</f>
        <v>90.05</v>
      </c>
      <c r="G105" s="12">
        <f>SUM(G99:G104)</f>
        <v>803.75</v>
      </c>
    </row>
    <row r="107" spans="1:7" x14ac:dyDescent="0.25">
      <c r="A107" s="2" t="s">
        <v>44</v>
      </c>
      <c r="B107" s="2"/>
      <c r="C107" s="2"/>
      <c r="D107" s="2"/>
      <c r="E107" s="2"/>
      <c r="F107" s="2"/>
      <c r="G107" s="2"/>
    </row>
    <row r="108" spans="1:7" ht="15.75" thickBot="1" x14ac:dyDescent="0.3">
      <c r="A108" s="6" t="s">
        <v>10</v>
      </c>
      <c r="B108" s="16"/>
      <c r="C108" s="16"/>
      <c r="D108" s="16"/>
      <c r="E108" s="16"/>
      <c r="F108" s="16"/>
      <c r="G108" s="16"/>
    </row>
    <row r="109" spans="1:7" ht="15.75" thickBot="1" x14ac:dyDescent="0.3">
      <c r="A109" s="42" t="s">
        <v>0</v>
      </c>
      <c r="B109" s="42" t="s">
        <v>1</v>
      </c>
      <c r="C109" s="1" t="s">
        <v>2</v>
      </c>
      <c r="D109" s="44" t="s">
        <v>4</v>
      </c>
      <c r="E109" s="45"/>
      <c r="F109" s="45"/>
      <c r="G109" s="46"/>
    </row>
    <row r="110" spans="1:7" ht="26.25" x14ac:dyDescent="0.25">
      <c r="A110" s="43"/>
      <c r="B110" s="43"/>
      <c r="C110" s="4" t="s">
        <v>3</v>
      </c>
      <c r="D110" s="4" t="s">
        <v>5</v>
      </c>
      <c r="E110" s="4" t="s">
        <v>6</v>
      </c>
      <c r="F110" s="4" t="s">
        <v>7</v>
      </c>
      <c r="G110" s="4" t="s">
        <v>8</v>
      </c>
    </row>
    <row r="111" spans="1:7" x14ac:dyDescent="0.25">
      <c r="A111" s="5" t="s">
        <v>105</v>
      </c>
      <c r="B111" s="5" t="s">
        <v>106</v>
      </c>
      <c r="C111" s="5">
        <v>100</v>
      </c>
      <c r="D111" s="5">
        <f>C111*1.4/100</f>
        <v>1.4</v>
      </c>
      <c r="E111" s="5">
        <f>C111*6.1/100</f>
        <v>6.1</v>
      </c>
      <c r="F111" s="5">
        <f>C111*7.6/100</f>
        <v>7.6</v>
      </c>
      <c r="G111" s="5">
        <f>C111*91/100</f>
        <v>91</v>
      </c>
    </row>
    <row r="112" spans="1:7" x14ac:dyDescent="0.25">
      <c r="A112" s="5" t="s">
        <v>23</v>
      </c>
      <c r="B112" s="5" t="s">
        <v>24</v>
      </c>
      <c r="C112" s="5">
        <v>200</v>
      </c>
      <c r="D112" s="5">
        <v>1.48</v>
      </c>
      <c r="E112" s="5">
        <v>3.54</v>
      </c>
      <c r="F112" s="5">
        <v>5.56</v>
      </c>
      <c r="G112" s="5">
        <v>60</v>
      </c>
    </row>
    <row r="113" spans="1:7" x14ac:dyDescent="0.25">
      <c r="A113" s="5" t="s">
        <v>135</v>
      </c>
      <c r="B113" s="5" t="s">
        <v>134</v>
      </c>
      <c r="C113" s="5">
        <v>100</v>
      </c>
      <c r="D113" s="5">
        <v>10.5</v>
      </c>
      <c r="E113" s="5">
        <v>17.100000000000001</v>
      </c>
      <c r="F113" s="5">
        <v>0.2</v>
      </c>
      <c r="G113" s="5">
        <v>197</v>
      </c>
    </row>
    <row r="114" spans="1:7" x14ac:dyDescent="0.25">
      <c r="A114" s="5" t="s">
        <v>39</v>
      </c>
      <c r="B114" s="5" t="s">
        <v>37</v>
      </c>
      <c r="C114" s="5">
        <v>200</v>
      </c>
      <c r="D114" s="5">
        <f>C114*3.7/100</f>
        <v>7.4</v>
      </c>
      <c r="E114" s="5">
        <f>C114*3.3/100</f>
        <v>6.6</v>
      </c>
      <c r="F114" s="5">
        <f>C114*19.7/100</f>
        <v>39.4</v>
      </c>
      <c r="G114" s="5">
        <f>C114*123/100</f>
        <v>246</v>
      </c>
    </row>
    <row r="115" spans="1:7" x14ac:dyDescent="0.25">
      <c r="A115" s="5" t="s">
        <v>22</v>
      </c>
      <c r="B115" s="5" t="s">
        <v>19</v>
      </c>
      <c r="C115" s="5">
        <v>200</v>
      </c>
      <c r="D115" s="5">
        <f>C115*0.2/200</f>
        <v>0.2</v>
      </c>
      <c r="E115" s="5">
        <f>C115*0.1/200</f>
        <v>0.1</v>
      </c>
      <c r="F115" s="5">
        <f>C115*9.3/200</f>
        <v>9.3000000000000007</v>
      </c>
      <c r="G115" s="5">
        <f>C115*38/200</f>
        <v>38</v>
      </c>
    </row>
    <row r="116" spans="1:7" x14ac:dyDescent="0.25">
      <c r="A116" s="5" t="s">
        <v>53</v>
      </c>
      <c r="B116" s="5" t="s">
        <v>54</v>
      </c>
      <c r="C116" s="5">
        <v>50</v>
      </c>
      <c r="D116" s="5">
        <f>C116*7.6/100</f>
        <v>3.8</v>
      </c>
      <c r="E116" s="5">
        <f>C116*0.8/100</f>
        <v>0.4</v>
      </c>
      <c r="F116" s="5">
        <f>C116*49.2/100</f>
        <v>24.6</v>
      </c>
      <c r="G116" s="5">
        <f>C116*234/100</f>
        <v>117</v>
      </c>
    </row>
    <row r="117" spans="1:7" x14ac:dyDescent="0.25">
      <c r="A117" s="11" t="s">
        <v>15</v>
      </c>
      <c r="B117" s="11" t="s">
        <v>16</v>
      </c>
      <c r="C117" s="11">
        <v>50</v>
      </c>
      <c r="D117" s="11">
        <f>C117*8/100</f>
        <v>4</v>
      </c>
      <c r="E117" s="11">
        <f>C117*1.5/100</f>
        <v>0.75</v>
      </c>
      <c r="F117" s="11">
        <f>C117*40.1/100</f>
        <v>20.05</v>
      </c>
      <c r="G117" s="11">
        <f>C117*206/100</f>
        <v>103</v>
      </c>
    </row>
    <row r="118" spans="1:7" x14ac:dyDescent="0.25">
      <c r="A118" s="40" t="s">
        <v>67</v>
      </c>
      <c r="B118" s="41"/>
      <c r="C118" s="5">
        <f>SUM(C111:C117)</f>
        <v>900</v>
      </c>
      <c r="D118" s="5">
        <f>SUM(D111:D117)</f>
        <v>28.78</v>
      </c>
      <c r="E118" s="28">
        <f>SUM(E111:E117)</f>
        <v>34.590000000000003</v>
      </c>
      <c r="F118" s="28">
        <f>SUM(F111:F117)</f>
        <v>106.71</v>
      </c>
      <c r="G118" s="28">
        <f>SUM(G111:G117)</f>
        <v>852</v>
      </c>
    </row>
    <row r="121" spans="1:7" x14ac:dyDescent="0.25">
      <c r="A121" s="18"/>
      <c r="B121" s="18"/>
      <c r="C121" s="18"/>
      <c r="D121" s="18"/>
      <c r="E121" s="18"/>
      <c r="F121" s="18"/>
      <c r="G121" s="18"/>
    </row>
    <row r="126" spans="1:7" x14ac:dyDescent="0.25">
      <c r="A126" s="2" t="s">
        <v>47</v>
      </c>
      <c r="B126" s="2"/>
      <c r="C126" s="2"/>
      <c r="D126" s="2"/>
      <c r="E126" s="2"/>
      <c r="F126" s="2"/>
      <c r="G126" s="2"/>
    </row>
    <row r="127" spans="1:7" ht="15.75" thickBot="1" x14ac:dyDescent="0.3">
      <c r="A127" s="6" t="s">
        <v>10</v>
      </c>
      <c r="B127" s="16"/>
      <c r="C127" s="16"/>
      <c r="D127" s="16"/>
      <c r="E127" s="16"/>
      <c r="F127" s="16"/>
      <c r="G127" s="16"/>
    </row>
    <row r="128" spans="1:7" ht="15.75" thickBot="1" x14ac:dyDescent="0.3">
      <c r="A128" s="42" t="s">
        <v>0</v>
      </c>
      <c r="B128" s="42" t="s">
        <v>1</v>
      </c>
      <c r="C128" s="1" t="s">
        <v>2</v>
      </c>
      <c r="D128" s="44" t="s">
        <v>4</v>
      </c>
      <c r="E128" s="45"/>
      <c r="F128" s="45"/>
      <c r="G128" s="46"/>
    </row>
    <row r="129" spans="1:7" ht="26.25" x14ac:dyDescent="0.25">
      <c r="A129" s="43"/>
      <c r="B129" s="43"/>
      <c r="C129" s="4" t="s">
        <v>3</v>
      </c>
      <c r="D129" s="4" t="s">
        <v>5</v>
      </c>
      <c r="E129" s="4" t="s">
        <v>6</v>
      </c>
      <c r="F129" s="4" t="s">
        <v>7</v>
      </c>
      <c r="G129" s="4" t="s">
        <v>8</v>
      </c>
    </row>
    <row r="130" spans="1:7" x14ac:dyDescent="0.25">
      <c r="A130" s="5" t="s">
        <v>52</v>
      </c>
      <c r="B130" s="5" t="s">
        <v>51</v>
      </c>
      <c r="C130" s="5">
        <v>200</v>
      </c>
      <c r="D130" s="5">
        <v>1.8600000000000003</v>
      </c>
      <c r="E130" s="5">
        <v>3.7799999999999994</v>
      </c>
      <c r="F130" s="5">
        <v>8.26</v>
      </c>
      <c r="G130" s="5">
        <v>74.599999999999994</v>
      </c>
    </row>
    <row r="131" spans="1:7" x14ac:dyDescent="0.25">
      <c r="A131" s="5" t="s">
        <v>61</v>
      </c>
      <c r="B131" s="5" t="s">
        <v>62</v>
      </c>
      <c r="C131" s="5">
        <v>150</v>
      </c>
      <c r="D131" s="5">
        <v>8.1818181818181817</v>
      </c>
      <c r="E131" s="5">
        <v>4.6090909090909093</v>
      </c>
      <c r="F131" s="5">
        <v>36.627272727272725</v>
      </c>
      <c r="G131" s="5">
        <v>220.90909090909091</v>
      </c>
    </row>
    <row r="132" spans="1:7" x14ac:dyDescent="0.25">
      <c r="A132" s="5" t="s">
        <v>129</v>
      </c>
      <c r="B132" s="5" t="s">
        <v>136</v>
      </c>
      <c r="C132" s="5">
        <v>100</v>
      </c>
      <c r="D132" s="5">
        <v>20</v>
      </c>
      <c r="E132" s="5">
        <v>19.5</v>
      </c>
      <c r="F132" s="5">
        <v>3.3</v>
      </c>
      <c r="G132" s="5">
        <v>258</v>
      </c>
    </row>
    <row r="133" spans="1:7" x14ac:dyDescent="0.25">
      <c r="A133" s="5" t="s">
        <v>13</v>
      </c>
      <c r="B133" s="5" t="s">
        <v>14</v>
      </c>
      <c r="C133" s="5">
        <v>200</v>
      </c>
      <c r="D133" s="5">
        <v>0.6</v>
      </c>
      <c r="E133" s="5">
        <v>0.1</v>
      </c>
      <c r="F133" s="5">
        <v>20.100000000000001</v>
      </c>
      <c r="G133" s="5">
        <v>84</v>
      </c>
    </row>
    <row r="134" spans="1:7" x14ac:dyDescent="0.25">
      <c r="A134" s="5" t="s">
        <v>53</v>
      </c>
      <c r="B134" s="5" t="s">
        <v>54</v>
      </c>
      <c r="C134" s="5">
        <v>100</v>
      </c>
      <c r="D134" s="5">
        <f>C134*7.6/100</f>
        <v>7.6</v>
      </c>
      <c r="E134" s="5">
        <f>C134*0.8/100</f>
        <v>0.8</v>
      </c>
      <c r="F134" s="5">
        <f>C134*49.2/100</f>
        <v>49.2</v>
      </c>
      <c r="G134" s="5">
        <f>C134*234/100</f>
        <v>234</v>
      </c>
    </row>
    <row r="135" spans="1:7" x14ac:dyDescent="0.25">
      <c r="A135" s="11" t="s">
        <v>15</v>
      </c>
      <c r="B135" s="11" t="s">
        <v>16</v>
      </c>
      <c r="C135" s="11">
        <v>50</v>
      </c>
      <c r="D135" s="11">
        <f>C135*8/100</f>
        <v>4</v>
      </c>
      <c r="E135" s="11">
        <f>C135*1.5/100</f>
        <v>0.75</v>
      </c>
      <c r="F135" s="11">
        <f>C135*40.1/100</f>
        <v>20.05</v>
      </c>
      <c r="G135" s="11">
        <f>C135*206/100</f>
        <v>103</v>
      </c>
    </row>
    <row r="136" spans="1:7" x14ac:dyDescent="0.25">
      <c r="A136" s="40" t="s">
        <v>67</v>
      </c>
      <c r="B136" s="41"/>
      <c r="C136" s="12">
        <f>SUM(C130:C135)</f>
        <v>800</v>
      </c>
      <c r="D136" s="12">
        <f>SUM(D130:D135)</f>
        <v>42.241818181818182</v>
      </c>
      <c r="E136" s="12">
        <f>SUM(E130:E135)</f>
        <v>29.539090909090913</v>
      </c>
      <c r="F136" s="12">
        <f>SUM(F130:F135)</f>
        <v>137.53727272727272</v>
      </c>
      <c r="G136" s="12">
        <f>SUM(G130:G135)</f>
        <v>974.5090909090909</v>
      </c>
    </row>
    <row r="138" spans="1:7" x14ac:dyDescent="0.25">
      <c r="A138" s="2" t="s">
        <v>48</v>
      </c>
      <c r="B138" s="2"/>
      <c r="C138" s="2"/>
      <c r="D138" s="2"/>
      <c r="E138" s="2"/>
      <c r="F138" s="2"/>
      <c r="G138" s="2"/>
    </row>
    <row r="139" spans="1:7" ht="15.75" thickBot="1" x14ac:dyDescent="0.3">
      <c r="A139" s="6" t="s">
        <v>10</v>
      </c>
      <c r="B139" s="16"/>
      <c r="C139" s="16"/>
      <c r="D139" s="16"/>
      <c r="E139" s="16"/>
      <c r="F139" s="16"/>
      <c r="G139" s="16"/>
    </row>
    <row r="140" spans="1:7" ht="15.75" thickBot="1" x14ac:dyDescent="0.3">
      <c r="A140" s="42" t="s">
        <v>0</v>
      </c>
      <c r="B140" s="42" t="s">
        <v>1</v>
      </c>
      <c r="C140" s="1" t="s">
        <v>2</v>
      </c>
      <c r="D140" s="44" t="s">
        <v>4</v>
      </c>
      <c r="E140" s="45"/>
      <c r="F140" s="45"/>
      <c r="G140" s="46"/>
    </row>
    <row r="141" spans="1:7" ht="26.25" x14ac:dyDescent="0.25">
      <c r="A141" s="43"/>
      <c r="B141" s="43"/>
      <c r="C141" s="4" t="s">
        <v>3</v>
      </c>
      <c r="D141" s="4" t="s">
        <v>5</v>
      </c>
      <c r="E141" s="4" t="s">
        <v>6</v>
      </c>
      <c r="F141" s="4" t="s">
        <v>7</v>
      </c>
      <c r="G141" s="4" t="s">
        <v>8</v>
      </c>
    </row>
    <row r="142" spans="1:7" x14ac:dyDescent="0.25">
      <c r="A142" s="5" t="s">
        <v>41</v>
      </c>
      <c r="B142" s="5" t="s">
        <v>42</v>
      </c>
      <c r="C142" s="5">
        <v>250</v>
      </c>
      <c r="D142" s="5">
        <f>C142*11.1/1000</f>
        <v>2.7749999999999999</v>
      </c>
      <c r="E142" s="5">
        <f>C142*14.1/1000</f>
        <v>3.5249999999999999</v>
      </c>
      <c r="F142" s="5">
        <f>C142*39.2/1000</f>
        <v>9.8000000000000007</v>
      </c>
      <c r="G142" s="5">
        <f>C142*328/1000</f>
        <v>82</v>
      </c>
    </row>
    <row r="143" spans="1:7" ht="30" x14ac:dyDescent="0.25">
      <c r="A143" s="5" t="s">
        <v>38</v>
      </c>
      <c r="B143" s="7" t="s">
        <v>36</v>
      </c>
      <c r="C143" s="5">
        <v>100</v>
      </c>
      <c r="D143" s="5">
        <f>C143*14/70</f>
        <v>20</v>
      </c>
      <c r="E143" s="5">
        <f>C143*12.6/70</f>
        <v>18</v>
      </c>
      <c r="F143" s="5">
        <f>C143*7.5/70</f>
        <v>10.714285714285714</v>
      </c>
      <c r="G143" s="5">
        <f>C143*199/70</f>
        <v>284.28571428571428</v>
      </c>
    </row>
    <row r="144" spans="1:7" x14ac:dyDescent="0.25">
      <c r="A144" s="5" t="s">
        <v>33</v>
      </c>
      <c r="B144" s="5" t="s">
        <v>34</v>
      </c>
      <c r="C144" s="5">
        <v>200</v>
      </c>
      <c r="D144" s="5">
        <f>C144*2.7/100</f>
        <v>5.4</v>
      </c>
      <c r="E144" s="5">
        <f>C144*4/100</f>
        <v>8</v>
      </c>
      <c r="F144" s="5">
        <f>C144*5.8/100</f>
        <v>11.6</v>
      </c>
      <c r="G144" s="5">
        <f>C144*70/100</f>
        <v>140</v>
      </c>
    </row>
    <row r="145" spans="1:7" x14ac:dyDescent="0.25">
      <c r="A145" s="5" t="s">
        <v>22</v>
      </c>
      <c r="B145" s="5" t="s">
        <v>19</v>
      </c>
      <c r="C145" s="5">
        <v>200</v>
      </c>
      <c r="D145" s="5">
        <f>C145*0.2/200</f>
        <v>0.2</v>
      </c>
      <c r="E145" s="5">
        <f>C145*0.1/200</f>
        <v>0.1</v>
      </c>
      <c r="F145" s="5">
        <f>C145*9.3/200</f>
        <v>9.3000000000000007</v>
      </c>
      <c r="G145" s="5">
        <f>C145*38/200</f>
        <v>38</v>
      </c>
    </row>
    <row r="146" spans="1:7" x14ac:dyDescent="0.25">
      <c r="A146" s="5" t="s">
        <v>53</v>
      </c>
      <c r="B146" s="5" t="s">
        <v>54</v>
      </c>
      <c r="C146" s="5">
        <v>100</v>
      </c>
      <c r="D146" s="5">
        <f>C146*7.6/100</f>
        <v>7.6</v>
      </c>
      <c r="E146" s="5">
        <f>C146*0.8/100</f>
        <v>0.8</v>
      </c>
      <c r="F146" s="5">
        <f>C146*49.2/100</f>
        <v>49.2</v>
      </c>
      <c r="G146" s="5">
        <f>C146*234/100</f>
        <v>234</v>
      </c>
    </row>
    <row r="147" spans="1:7" x14ac:dyDescent="0.25">
      <c r="A147" s="11" t="s">
        <v>15</v>
      </c>
      <c r="B147" s="11" t="s">
        <v>16</v>
      </c>
      <c r="C147" s="11">
        <v>50</v>
      </c>
      <c r="D147" s="11">
        <f>C147*8/100</f>
        <v>4</v>
      </c>
      <c r="E147" s="11">
        <f>C147*1.5/100</f>
        <v>0.75</v>
      </c>
      <c r="F147" s="11">
        <f>C147*40.1/100</f>
        <v>20.05</v>
      </c>
      <c r="G147" s="11">
        <f>C147*206/100</f>
        <v>103</v>
      </c>
    </row>
    <row r="148" spans="1:7" x14ac:dyDescent="0.25">
      <c r="A148" s="40" t="s">
        <v>67</v>
      </c>
      <c r="B148" s="41"/>
      <c r="C148" s="5">
        <f>SUM(C142:C147)</f>
        <v>900</v>
      </c>
      <c r="D148" s="5">
        <f>SUM(D142:D147)</f>
        <v>39.974999999999994</v>
      </c>
      <c r="E148" s="5">
        <f>SUM(E142:E147)</f>
        <v>31.175000000000001</v>
      </c>
      <c r="F148" s="5">
        <f>SUM(F142:F147)</f>
        <v>110.66428571428571</v>
      </c>
      <c r="G148" s="5">
        <f>SUM(G142:G147)</f>
        <v>881.28571428571422</v>
      </c>
    </row>
    <row r="149" spans="1:7" ht="9.75" customHeight="1" x14ac:dyDescent="0.25"/>
    <row r="151" spans="1:7" x14ac:dyDescent="0.25">
      <c r="A151" s="38" t="s">
        <v>68</v>
      </c>
      <c r="B151" s="39"/>
      <c r="C151" s="14">
        <f>(C12+C27+C45+C58+C76+C88+C105+C118+C136+C148)/10</f>
        <v>885</v>
      </c>
      <c r="D151" s="14">
        <f>(D12+D27+D45+D58+D76+D88+D105+D118+D136+D148)/10</f>
        <v>35.254305194805191</v>
      </c>
      <c r="E151" s="14">
        <f>(E12+E27+E45+E58+E76+E88+E105+E118+E136+E148)/10</f>
        <v>31.520097402597401</v>
      </c>
      <c r="F151" s="14">
        <f>(F12+F27+F45+F58+F76+F88+F105+F118+F136+F148)/10</f>
        <v>119.34529220779223</v>
      </c>
      <c r="G151" s="14">
        <f>(G12+G27+G45+G58+G76+G88+G105+G118+G136+G148)/10</f>
        <v>900.51045454545442</v>
      </c>
    </row>
  </sheetData>
  <mergeCells count="43">
    <mergeCell ref="A151:B151"/>
    <mergeCell ref="A105:B105"/>
    <mergeCell ref="A109:A110"/>
    <mergeCell ref="B109:B110"/>
    <mergeCell ref="D109:G109"/>
    <mergeCell ref="A118:B118"/>
    <mergeCell ref="A128:A129"/>
    <mergeCell ref="B128:B129"/>
    <mergeCell ref="D128:G128"/>
    <mergeCell ref="A136:B136"/>
    <mergeCell ref="A140:A141"/>
    <mergeCell ref="B140:B141"/>
    <mergeCell ref="D140:G140"/>
    <mergeCell ref="A148:B148"/>
    <mergeCell ref="A97:A98"/>
    <mergeCell ref="B97:B98"/>
    <mergeCell ref="D97:G97"/>
    <mergeCell ref="A49:A50"/>
    <mergeCell ref="B49:B50"/>
    <mergeCell ref="D49:G49"/>
    <mergeCell ref="A58:B58"/>
    <mergeCell ref="A67:A68"/>
    <mergeCell ref="B67:B68"/>
    <mergeCell ref="D67:G67"/>
    <mergeCell ref="A76:B76"/>
    <mergeCell ref="A80:A81"/>
    <mergeCell ref="B80:B81"/>
    <mergeCell ref="D80:G80"/>
    <mergeCell ref="A88:B88"/>
    <mergeCell ref="A45:B45"/>
    <mergeCell ref="A1:G1"/>
    <mergeCell ref="A4:A5"/>
    <mergeCell ref="B4:B5"/>
    <mergeCell ref="D4:G4"/>
    <mergeCell ref="A12:B12"/>
    <mergeCell ref="A16:A17"/>
    <mergeCell ref="B16:B17"/>
    <mergeCell ref="D16:G16"/>
    <mergeCell ref="A26:B26"/>
    <mergeCell ref="A27:B27"/>
    <mergeCell ref="A36:A37"/>
    <mergeCell ref="B36:B37"/>
    <mergeCell ref="D36:G36"/>
  </mergeCells>
  <pageMargins left="0.7" right="0.7" top="0.75" bottom="0.75" header="0.3" footer="0.3"/>
  <pageSetup paperSize="9" orientation="landscape" horizontalDpi="180" verticalDpi="180" r:id="rId1"/>
  <headerFooter>
    <oddHeader xml:space="preserve">&amp;L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1"/>
  <sheetViews>
    <sheetView view="pageLayout" topLeftCell="A150" zoomScaleNormal="100" workbookViewId="0">
      <selection activeCell="A123" sqref="A123:XFD123"/>
    </sheetView>
  </sheetViews>
  <sheetFormatPr defaultRowHeight="15" x14ac:dyDescent="0.25"/>
  <cols>
    <col min="1" max="1" width="13.28515625" customWidth="1"/>
    <col min="2" max="2" width="36.7109375" customWidth="1"/>
    <col min="4" max="4" width="13.5703125" customWidth="1"/>
    <col min="5" max="5" width="14.85546875" customWidth="1"/>
    <col min="6" max="6" width="20.42578125" customWidth="1"/>
    <col min="7" max="7" width="18.28515625" customWidth="1"/>
    <col min="11" max="11" width="16" customWidth="1"/>
  </cols>
  <sheetData>
    <row r="1" spans="1:7" x14ac:dyDescent="0.25">
      <c r="A1" s="47" t="s">
        <v>101</v>
      </c>
      <c r="B1" s="47"/>
      <c r="C1" s="47"/>
      <c r="D1" s="47"/>
      <c r="E1" s="47"/>
      <c r="F1" s="47"/>
      <c r="G1" s="47"/>
    </row>
    <row r="2" spans="1:7" x14ac:dyDescent="0.25">
      <c r="A2" s="2" t="s">
        <v>9</v>
      </c>
      <c r="B2" s="2"/>
      <c r="C2" s="2"/>
      <c r="D2" s="2"/>
      <c r="E2" s="2"/>
      <c r="F2" s="2"/>
      <c r="G2" s="2"/>
    </row>
    <row r="3" spans="1:7" ht="15.75" thickBot="1" x14ac:dyDescent="0.3">
      <c r="A3" s="6" t="s">
        <v>10</v>
      </c>
      <c r="B3" s="16"/>
      <c r="C3" s="16"/>
      <c r="D3" s="16"/>
      <c r="E3" s="16"/>
      <c r="F3" s="16"/>
      <c r="G3" s="16"/>
    </row>
    <row r="4" spans="1:7" ht="15.75" customHeight="1" thickBot="1" x14ac:dyDescent="0.3">
      <c r="A4" s="42" t="s">
        <v>0</v>
      </c>
      <c r="B4" s="42" t="s">
        <v>1</v>
      </c>
      <c r="C4" s="1" t="s">
        <v>2</v>
      </c>
      <c r="D4" s="44" t="s">
        <v>4</v>
      </c>
      <c r="E4" s="45"/>
      <c r="F4" s="45"/>
      <c r="G4" s="46"/>
    </row>
    <row r="5" spans="1:7" ht="26.25" x14ac:dyDescent="0.25">
      <c r="A5" s="43"/>
      <c r="B5" s="43"/>
      <c r="C5" s="4" t="s">
        <v>3</v>
      </c>
      <c r="D5" s="4" t="s">
        <v>5</v>
      </c>
      <c r="E5" s="4" t="s">
        <v>6</v>
      </c>
      <c r="F5" s="4" t="s">
        <v>7</v>
      </c>
      <c r="G5" s="4" t="s">
        <v>8</v>
      </c>
    </row>
    <row r="6" spans="1:7" x14ac:dyDescent="0.25">
      <c r="A6" s="5" t="s">
        <v>23</v>
      </c>
      <c r="B6" s="5" t="s">
        <v>24</v>
      </c>
      <c r="C6" s="5">
        <v>200</v>
      </c>
      <c r="D6" s="5">
        <v>1.48</v>
      </c>
      <c r="E6" s="5">
        <v>3.54</v>
      </c>
      <c r="F6" s="5">
        <v>5.56</v>
      </c>
      <c r="G6" s="5">
        <v>60</v>
      </c>
    </row>
    <row r="7" spans="1:7" x14ac:dyDescent="0.25">
      <c r="A7" s="5" t="s">
        <v>55</v>
      </c>
      <c r="B7" s="5" t="s">
        <v>56</v>
      </c>
      <c r="C7" s="5">
        <v>100</v>
      </c>
      <c r="D7" s="5">
        <f>C7*17.3/100</f>
        <v>17.3</v>
      </c>
      <c r="E7" s="5">
        <f>C7*21/100</f>
        <v>21</v>
      </c>
      <c r="F7" s="5">
        <f>C7*9.9/100</f>
        <v>9.9</v>
      </c>
      <c r="G7" s="5">
        <f>C7*298/100</f>
        <v>298</v>
      </c>
    </row>
    <row r="8" spans="1:7" x14ac:dyDescent="0.25">
      <c r="A8" s="5" t="s">
        <v>39</v>
      </c>
      <c r="B8" s="5" t="s">
        <v>37</v>
      </c>
      <c r="C8" s="5">
        <v>180</v>
      </c>
      <c r="D8" s="5">
        <f>C8*3.7/100</f>
        <v>6.66</v>
      </c>
      <c r="E8" s="5">
        <f>C8*3.3/100</f>
        <v>5.94</v>
      </c>
      <c r="F8" s="5">
        <f>C8*19.7/100</f>
        <v>35.46</v>
      </c>
      <c r="G8" s="5">
        <f>C8*123/100</f>
        <v>221.4</v>
      </c>
    </row>
    <row r="9" spans="1:7" x14ac:dyDescent="0.25">
      <c r="A9" s="5" t="s">
        <v>22</v>
      </c>
      <c r="B9" s="5" t="s">
        <v>19</v>
      </c>
      <c r="C9" s="5">
        <v>200</v>
      </c>
      <c r="D9" s="5">
        <f>C9*0.2/200</f>
        <v>0.2</v>
      </c>
      <c r="E9" s="5">
        <f>C9*0.1/200</f>
        <v>0.1</v>
      </c>
      <c r="F9" s="5">
        <f>C9*9.3/200</f>
        <v>9.3000000000000007</v>
      </c>
      <c r="G9" s="5">
        <f>C9*38/200</f>
        <v>38</v>
      </c>
    </row>
    <row r="10" spans="1:7" x14ac:dyDescent="0.25">
      <c r="A10" s="5" t="s">
        <v>53</v>
      </c>
      <c r="B10" s="5" t="s">
        <v>54</v>
      </c>
      <c r="C10" s="5">
        <v>100</v>
      </c>
      <c r="D10" s="5">
        <f>C10*7.6/100</f>
        <v>7.6</v>
      </c>
      <c r="E10" s="5">
        <f>C10*0.8/100</f>
        <v>0.8</v>
      </c>
      <c r="F10" s="5">
        <f>C10*49.2/100</f>
        <v>49.2</v>
      </c>
      <c r="G10" s="5">
        <f>C10*234/100</f>
        <v>234</v>
      </c>
    </row>
    <row r="11" spans="1:7" x14ac:dyDescent="0.25">
      <c r="A11" s="5" t="s">
        <v>15</v>
      </c>
      <c r="B11" s="5" t="s">
        <v>16</v>
      </c>
      <c r="C11" s="5">
        <v>50</v>
      </c>
      <c r="D11" s="5">
        <f>C11*8/100</f>
        <v>4</v>
      </c>
      <c r="E11" s="5">
        <f>C11*1.5/100</f>
        <v>0.75</v>
      </c>
      <c r="F11" s="5">
        <f>C11*40.1/100</f>
        <v>20.05</v>
      </c>
      <c r="G11" s="5">
        <f>C11*206/100</f>
        <v>103</v>
      </c>
    </row>
    <row r="12" spans="1:7" x14ac:dyDescent="0.25">
      <c r="A12" s="40" t="s">
        <v>67</v>
      </c>
      <c r="B12" s="41"/>
      <c r="C12" s="5">
        <f>SUM(C6:C11)</f>
        <v>830</v>
      </c>
      <c r="D12" s="5">
        <f>SUM(D6:D11)</f>
        <v>37.24</v>
      </c>
      <c r="E12" s="5">
        <f>SUM(E6:E11)</f>
        <v>32.130000000000003</v>
      </c>
      <c r="F12" s="5">
        <f>SUM(F6:F11)</f>
        <v>129.47</v>
      </c>
      <c r="G12" s="5">
        <f>SUM(G6:G11)</f>
        <v>954.4</v>
      </c>
    </row>
    <row r="13" spans="1:7" x14ac:dyDescent="0.25">
      <c r="A13" s="16"/>
      <c r="B13" s="16"/>
      <c r="C13" s="16"/>
      <c r="D13" s="16"/>
      <c r="E13" s="16"/>
      <c r="F13" s="16"/>
      <c r="G13" s="16"/>
    </row>
    <row r="14" spans="1:7" x14ac:dyDescent="0.25">
      <c r="A14" s="2" t="s">
        <v>18</v>
      </c>
      <c r="B14" s="2"/>
      <c r="C14" s="2"/>
      <c r="D14" s="2"/>
      <c r="E14" s="2"/>
      <c r="F14" s="2"/>
      <c r="G14" s="2"/>
    </row>
    <row r="15" spans="1:7" ht="15.75" thickBot="1" x14ac:dyDescent="0.3">
      <c r="A15" s="6" t="s">
        <v>10</v>
      </c>
      <c r="B15" s="16"/>
      <c r="C15" s="16"/>
      <c r="D15" s="16"/>
      <c r="E15" s="16"/>
      <c r="F15" s="16"/>
      <c r="G15" s="16"/>
    </row>
    <row r="16" spans="1:7" ht="15.75" thickBot="1" x14ac:dyDescent="0.3">
      <c r="A16" s="42" t="s">
        <v>0</v>
      </c>
      <c r="B16" s="42" t="s">
        <v>1</v>
      </c>
      <c r="C16" s="1" t="s">
        <v>2</v>
      </c>
      <c r="D16" s="44" t="s">
        <v>4</v>
      </c>
      <c r="E16" s="45"/>
      <c r="F16" s="45"/>
      <c r="G16" s="46"/>
    </row>
    <row r="17" spans="1:7" ht="26.25" x14ac:dyDescent="0.25">
      <c r="A17" s="43"/>
      <c r="B17" s="43"/>
      <c r="C17" s="4" t="s">
        <v>3</v>
      </c>
      <c r="D17" s="4" t="s">
        <v>5</v>
      </c>
      <c r="E17" s="4" t="s">
        <v>6</v>
      </c>
      <c r="F17" s="4" t="s">
        <v>7</v>
      </c>
      <c r="G17" s="4" t="s">
        <v>8</v>
      </c>
    </row>
    <row r="18" spans="1:7" x14ac:dyDescent="0.25">
      <c r="A18" s="5" t="s">
        <v>31</v>
      </c>
      <c r="B18" s="5" t="s">
        <v>32</v>
      </c>
      <c r="C18" s="5">
        <v>100</v>
      </c>
      <c r="D18" s="5">
        <f>C18*1.45/100</f>
        <v>1.45</v>
      </c>
      <c r="E18" s="5">
        <f>C18*6/100</f>
        <v>6</v>
      </c>
      <c r="F18" s="5">
        <f>C18*8.4/100</f>
        <v>8.4</v>
      </c>
      <c r="G18" s="5">
        <f>C18*94/100</f>
        <v>94</v>
      </c>
    </row>
    <row r="19" spans="1:7" x14ac:dyDescent="0.25">
      <c r="A19" s="5" t="s">
        <v>130</v>
      </c>
      <c r="B19" s="5" t="s">
        <v>131</v>
      </c>
      <c r="C19" s="5">
        <v>200</v>
      </c>
      <c r="D19" s="5">
        <v>6.4</v>
      </c>
      <c r="E19" s="5">
        <v>8.34</v>
      </c>
      <c r="F19" s="5">
        <v>1.32</v>
      </c>
      <c r="G19" s="5">
        <v>106</v>
      </c>
    </row>
    <row r="20" spans="1:7" x14ac:dyDescent="0.25">
      <c r="A20" s="5" t="s">
        <v>50</v>
      </c>
      <c r="B20" s="5" t="s">
        <v>49</v>
      </c>
      <c r="C20" s="5">
        <v>100</v>
      </c>
      <c r="D20" s="5">
        <f>C20*9/70</f>
        <v>12.857142857142858</v>
      </c>
      <c r="E20" s="5">
        <f>C20*1.1/70</f>
        <v>1.5714285714285716</v>
      </c>
      <c r="F20" s="5">
        <f>C20*7/70</f>
        <v>10</v>
      </c>
      <c r="G20" s="5">
        <f>C20*74/70</f>
        <v>105.71428571428571</v>
      </c>
    </row>
    <row r="21" spans="1:7" x14ac:dyDescent="0.25">
      <c r="A21" s="5" t="s">
        <v>57</v>
      </c>
      <c r="B21" s="5" t="s">
        <v>58</v>
      </c>
      <c r="C21" s="5">
        <v>180</v>
      </c>
      <c r="D21" s="5">
        <f>C21*25.1/1000</f>
        <v>4.5179999999999998</v>
      </c>
      <c r="E21" s="5">
        <f>C21*36.2/1000</f>
        <v>6.5160000000000009</v>
      </c>
      <c r="F21" s="5">
        <f>C21*259/1000</f>
        <v>46.62</v>
      </c>
      <c r="G21" s="5">
        <f>C21*1462/1000</f>
        <v>263.16000000000003</v>
      </c>
    </row>
    <row r="22" spans="1:7" x14ac:dyDescent="0.25">
      <c r="A22" s="5" t="s">
        <v>13</v>
      </c>
      <c r="B22" s="5" t="s">
        <v>14</v>
      </c>
      <c r="C22" s="5">
        <v>200</v>
      </c>
      <c r="D22" s="5">
        <f>C22*0.6/200</f>
        <v>0.6</v>
      </c>
      <c r="E22" s="5">
        <f>C22*0.1/200</f>
        <v>0.1</v>
      </c>
      <c r="F22" s="5">
        <f>C22*20.1/200</f>
        <v>20.100000000000001</v>
      </c>
      <c r="G22" s="5">
        <f>C22*84/200</f>
        <v>84</v>
      </c>
    </row>
    <row r="23" spans="1:7" x14ac:dyDescent="0.25">
      <c r="A23" s="5" t="s">
        <v>53</v>
      </c>
      <c r="B23" s="5" t="s">
        <v>54</v>
      </c>
      <c r="C23" s="5">
        <v>100</v>
      </c>
      <c r="D23" s="5">
        <f>C23*7.6/100</f>
        <v>7.6</v>
      </c>
      <c r="E23" s="5">
        <f>C23*0.8/100</f>
        <v>0.8</v>
      </c>
      <c r="F23" s="5">
        <f>C23*49.2/100</f>
        <v>49.2</v>
      </c>
      <c r="G23" s="5">
        <f>C23*234/100</f>
        <v>234</v>
      </c>
    </row>
    <row r="24" spans="1:7" x14ac:dyDescent="0.25">
      <c r="A24" s="5" t="s">
        <v>15</v>
      </c>
      <c r="B24" s="5" t="s">
        <v>16</v>
      </c>
      <c r="C24" s="5">
        <v>50</v>
      </c>
      <c r="D24" s="5">
        <f>C24*8/100</f>
        <v>4</v>
      </c>
      <c r="E24" s="5">
        <f>C24*1.5/100</f>
        <v>0.75</v>
      </c>
      <c r="F24" s="5">
        <f>C24*40.1/100</f>
        <v>20.05</v>
      </c>
      <c r="G24" s="5">
        <f>C24*206/100</f>
        <v>103</v>
      </c>
    </row>
    <row r="25" spans="1:7" hidden="1" x14ac:dyDescent="0.25">
      <c r="A25" s="5" t="s">
        <v>15</v>
      </c>
      <c r="B25" s="5" t="s">
        <v>16</v>
      </c>
      <c r="C25" s="5">
        <v>50</v>
      </c>
      <c r="D25" s="5">
        <f>C25*8/100</f>
        <v>4</v>
      </c>
      <c r="E25" s="5">
        <f>C25*1.5/100</f>
        <v>0.75</v>
      </c>
      <c r="F25" s="5">
        <f>C25*40.1/100</f>
        <v>20.05</v>
      </c>
      <c r="G25" s="5">
        <f>C25*206/100</f>
        <v>103</v>
      </c>
    </row>
    <row r="26" spans="1:7" hidden="1" x14ac:dyDescent="0.25">
      <c r="A26" s="40" t="s">
        <v>17</v>
      </c>
      <c r="B26" s="41"/>
      <c r="C26" s="5">
        <f>SUM(C18:C24)</f>
        <v>930</v>
      </c>
      <c r="D26" s="5">
        <f>SUM(D18:D24)</f>
        <v>37.425142857142859</v>
      </c>
      <c r="E26" s="5">
        <f>SUM(E18:E24)</f>
        <v>24.077428571428573</v>
      </c>
      <c r="F26" s="5">
        <f>SUM(F18:F24)</f>
        <v>155.69</v>
      </c>
      <c r="G26" s="5">
        <f>SUM(G18:G24)</f>
        <v>989.87428571428575</v>
      </c>
    </row>
    <row r="27" spans="1:7" x14ac:dyDescent="0.25">
      <c r="A27" s="40" t="s">
        <v>67</v>
      </c>
      <c r="B27" s="41"/>
      <c r="C27" s="5">
        <f>SUM(C26)</f>
        <v>930</v>
      </c>
      <c r="D27" s="5">
        <f>SUM(D26)</f>
        <v>37.425142857142859</v>
      </c>
      <c r="E27" s="28">
        <f>SUM(E26)</f>
        <v>24.077428571428573</v>
      </c>
      <c r="F27" s="5">
        <f>SUM(F26)</f>
        <v>155.69</v>
      </c>
      <c r="G27" s="28">
        <f>SUM(G26)</f>
        <v>989.87428571428575</v>
      </c>
    </row>
    <row r="33" spans="1:7" x14ac:dyDescent="0.25">
      <c r="A33" s="18"/>
      <c r="B33" s="18"/>
      <c r="C33" s="18"/>
      <c r="D33" s="18"/>
      <c r="E33" s="18"/>
      <c r="F33" s="18"/>
      <c r="G33" s="18"/>
    </row>
    <row r="34" spans="1:7" x14ac:dyDescent="0.25">
      <c r="A34" s="2" t="s">
        <v>25</v>
      </c>
      <c r="B34" s="2"/>
      <c r="C34" s="2"/>
      <c r="D34" s="2"/>
      <c r="E34" s="2"/>
      <c r="F34" s="2"/>
      <c r="G34" s="2"/>
    </row>
    <row r="35" spans="1:7" ht="15.75" thickBot="1" x14ac:dyDescent="0.3">
      <c r="A35" s="6" t="s">
        <v>10</v>
      </c>
      <c r="B35" s="16"/>
      <c r="C35" s="16"/>
      <c r="D35" s="16"/>
      <c r="E35" s="16"/>
      <c r="F35" s="16"/>
      <c r="G35" s="16"/>
    </row>
    <row r="36" spans="1:7" ht="15.75" thickBot="1" x14ac:dyDescent="0.3">
      <c r="A36" s="42" t="s">
        <v>0</v>
      </c>
      <c r="B36" s="42" t="s">
        <v>1</v>
      </c>
      <c r="C36" s="1" t="s">
        <v>2</v>
      </c>
      <c r="D36" s="44" t="s">
        <v>4</v>
      </c>
      <c r="E36" s="45"/>
      <c r="F36" s="45"/>
      <c r="G36" s="46"/>
    </row>
    <row r="37" spans="1:7" ht="26.25" x14ac:dyDescent="0.25">
      <c r="A37" s="43"/>
      <c r="B37" s="43"/>
      <c r="C37" s="4" t="s">
        <v>3</v>
      </c>
      <c r="D37" s="4" t="s">
        <v>5</v>
      </c>
      <c r="E37" s="4" t="s">
        <v>6</v>
      </c>
      <c r="F37" s="4" t="s">
        <v>7</v>
      </c>
      <c r="G37" s="4" t="s">
        <v>8</v>
      </c>
    </row>
    <row r="38" spans="1:7" x14ac:dyDescent="0.25">
      <c r="A38" s="5" t="s">
        <v>133</v>
      </c>
      <c r="B38" s="5" t="s">
        <v>132</v>
      </c>
      <c r="C38" s="5">
        <v>200</v>
      </c>
      <c r="D38" s="5">
        <v>7.1599999999999993</v>
      </c>
      <c r="E38" s="5">
        <v>7.6599999999999993</v>
      </c>
      <c r="F38" s="5">
        <v>6</v>
      </c>
      <c r="G38" s="5">
        <v>121.6</v>
      </c>
    </row>
    <row r="39" spans="1:7" x14ac:dyDescent="0.25">
      <c r="A39" s="5" t="s">
        <v>135</v>
      </c>
      <c r="B39" s="5" t="s">
        <v>134</v>
      </c>
      <c r="C39" s="5">
        <v>100</v>
      </c>
      <c r="D39" s="5">
        <v>10.5</v>
      </c>
      <c r="E39" s="5">
        <v>17.100000000000001</v>
      </c>
      <c r="F39" s="5">
        <v>0.2</v>
      </c>
      <c r="G39" s="5">
        <v>197</v>
      </c>
    </row>
    <row r="40" spans="1:7" x14ac:dyDescent="0.25">
      <c r="A40" s="5" t="s">
        <v>59</v>
      </c>
      <c r="B40" s="5" t="s">
        <v>60</v>
      </c>
      <c r="C40" s="5">
        <v>50</v>
      </c>
      <c r="D40" s="5">
        <f>C40*9.5/1000</f>
        <v>0.47499999999999998</v>
      </c>
      <c r="E40" s="5">
        <f>C40*32.8/1000</f>
        <v>1.6399999999999997</v>
      </c>
      <c r="F40" s="5">
        <f>C40*46/1000</f>
        <v>2.2999999999999998</v>
      </c>
      <c r="G40" s="5">
        <f>C40*519/1000</f>
        <v>25.95</v>
      </c>
    </row>
    <row r="41" spans="1:7" x14ac:dyDescent="0.25">
      <c r="A41" s="5" t="s">
        <v>61</v>
      </c>
      <c r="B41" s="5" t="s">
        <v>62</v>
      </c>
      <c r="C41" s="5">
        <v>180</v>
      </c>
      <c r="D41" s="5">
        <f>C41*60/1100</f>
        <v>9.8181818181818183</v>
      </c>
      <c r="E41" s="5">
        <f>C41*33.8/1100</f>
        <v>5.5309090909090903</v>
      </c>
      <c r="F41" s="5">
        <f>C41*268.6/1100</f>
        <v>43.95272727272728</v>
      </c>
      <c r="G41" s="5">
        <f>C41*1620/1100</f>
        <v>265.09090909090907</v>
      </c>
    </row>
    <row r="42" spans="1:7" x14ac:dyDescent="0.25">
      <c r="A42" s="5" t="s">
        <v>22</v>
      </c>
      <c r="B42" s="5" t="s">
        <v>19</v>
      </c>
      <c r="C42" s="5">
        <v>200</v>
      </c>
      <c r="D42" s="5">
        <f>C42*0.2/200</f>
        <v>0.2</v>
      </c>
      <c r="E42" s="5">
        <f>C42*0.1/200</f>
        <v>0.1</v>
      </c>
      <c r="F42" s="5">
        <f>C42*9.3/200</f>
        <v>9.3000000000000007</v>
      </c>
      <c r="G42" s="5">
        <f>C42*38/200</f>
        <v>38</v>
      </c>
    </row>
    <row r="43" spans="1:7" x14ac:dyDescent="0.25">
      <c r="A43" s="5" t="s">
        <v>53</v>
      </c>
      <c r="B43" s="5" t="s">
        <v>54</v>
      </c>
      <c r="C43" s="5">
        <v>100</v>
      </c>
      <c r="D43" s="5">
        <f>C43*7.6/100</f>
        <v>7.6</v>
      </c>
      <c r="E43" s="5">
        <f>C43*0.8/100</f>
        <v>0.8</v>
      </c>
      <c r="F43" s="5">
        <f>C43*49.2/100</f>
        <v>49.2</v>
      </c>
      <c r="G43" s="5">
        <f>C43*234/100</f>
        <v>234</v>
      </c>
    </row>
    <row r="44" spans="1:7" x14ac:dyDescent="0.25">
      <c r="A44" s="5" t="s">
        <v>15</v>
      </c>
      <c r="B44" s="5" t="s">
        <v>16</v>
      </c>
      <c r="C44" s="5">
        <v>50</v>
      </c>
      <c r="D44" s="5">
        <f>C44*8/100</f>
        <v>4</v>
      </c>
      <c r="E44" s="5">
        <f>C44*1.5/100</f>
        <v>0.75</v>
      </c>
      <c r="F44" s="5">
        <f>C44*40.1/100</f>
        <v>20.05</v>
      </c>
      <c r="G44" s="5">
        <f>C44*206/100</f>
        <v>103</v>
      </c>
    </row>
    <row r="45" spans="1:7" x14ac:dyDescent="0.25">
      <c r="A45" s="40" t="s">
        <v>67</v>
      </c>
      <c r="B45" s="41"/>
      <c r="C45" s="5">
        <f>SUM(C38:C44)</f>
        <v>880</v>
      </c>
      <c r="D45" s="5">
        <f>SUM(D38:D44)</f>
        <v>39.753181818181815</v>
      </c>
      <c r="E45" s="5">
        <f>SUM(E38:E44)</f>
        <v>33.580909090909088</v>
      </c>
      <c r="F45" s="5">
        <f>SUM(F38:F44)</f>
        <v>131.0027272727273</v>
      </c>
      <c r="G45" s="5">
        <f>SUM(G38:G44)</f>
        <v>984.64090909090908</v>
      </c>
    </row>
    <row r="47" spans="1:7" x14ac:dyDescent="0.25">
      <c r="A47" s="2" t="s">
        <v>30</v>
      </c>
      <c r="B47" s="2"/>
      <c r="C47" s="2"/>
      <c r="D47" s="2"/>
      <c r="E47" s="2"/>
      <c r="F47" s="2"/>
      <c r="G47" s="2"/>
    </row>
    <row r="48" spans="1:7" ht="15.75" thickBot="1" x14ac:dyDescent="0.3">
      <c r="A48" s="6" t="s">
        <v>10</v>
      </c>
      <c r="B48" s="16"/>
      <c r="C48" s="16"/>
      <c r="D48" s="16"/>
      <c r="E48" s="16"/>
      <c r="F48" s="16"/>
      <c r="G48" s="16"/>
    </row>
    <row r="49" spans="1:7" ht="15.75" thickBot="1" x14ac:dyDescent="0.3">
      <c r="A49" s="42" t="s">
        <v>0</v>
      </c>
      <c r="B49" s="42" t="s">
        <v>1</v>
      </c>
      <c r="C49" s="1" t="s">
        <v>2</v>
      </c>
      <c r="D49" s="44" t="s">
        <v>4</v>
      </c>
      <c r="E49" s="45"/>
      <c r="F49" s="45"/>
      <c r="G49" s="46"/>
    </row>
    <row r="50" spans="1:7" ht="26.25" x14ac:dyDescent="0.25">
      <c r="A50" s="43"/>
      <c r="B50" s="43"/>
      <c r="C50" s="4" t="s">
        <v>3</v>
      </c>
      <c r="D50" s="4" t="s">
        <v>5</v>
      </c>
      <c r="E50" s="4" t="s">
        <v>6</v>
      </c>
      <c r="F50" s="4" t="s">
        <v>7</v>
      </c>
      <c r="G50" s="4" t="s">
        <v>8</v>
      </c>
    </row>
    <row r="51" spans="1:7" x14ac:dyDescent="0.25">
      <c r="A51" s="5" t="s">
        <v>45</v>
      </c>
      <c r="B51" s="5" t="s">
        <v>46</v>
      </c>
      <c r="C51" s="5">
        <v>250</v>
      </c>
      <c r="D51" s="5">
        <f>C51*10.5/1000</f>
        <v>2.625</v>
      </c>
      <c r="E51" s="5">
        <f>C51*20.4/1000</f>
        <v>5.0999999999999996</v>
      </c>
      <c r="F51" s="5">
        <f>C51*53/1000</f>
        <v>13.25</v>
      </c>
      <c r="G51" s="5">
        <f>C51*438/1000</f>
        <v>109.5</v>
      </c>
    </row>
    <row r="52" spans="1:7" x14ac:dyDescent="0.25">
      <c r="A52" s="5" t="s">
        <v>138</v>
      </c>
      <c r="B52" s="5" t="s">
        <v>137</v>
      </c>
      <c r="C52" s="5">
        <v>100</v>
      </c>
      <c r="D52" s="5">
        <v>11.5</v>
      </c>
      <c r="E52" s="5">
        <v>10.3</v>
      </c>
      <c r="F52" s="5">
        <v>5.4</v>
      </c>
      <c r="G52" s="5">
        <v>160</v>
      </c>
    </row>
    <row r="53" spans="1:7" x14ac:dyDescent="0.25">
      <c r="A53" s="5" t="s">
        <v>104</v>
      </c>
      <c r="B53" s="5" t="s">
        <v>103</v>
      </c>
      <c r="C53" s="5">
        <v>50</v>
      </c>
      <c r="D53" s="5">
        <f>C53*29.5/1000</f>
        <v>1.4750000000000001</v>
      </c>
      <c r="E53" s="5">
        <f>C53*186.9/1000</f>
        <v>9.3450000000000006</v>
      </c>
      <c r="F53" s="5">
        <f>C53*48.5/1000</f>
        <v>2.4249999999999998</v>
      </c>
      <c r="G53" s="5">
        <f>C53*1994/1000</f>
        <v>99.7</v>
      </c>
    </row>
    <row r="54" spans="1:7" x14ac:dyDescent="0.25">
      <c r="A54" s="5" t="s">
        <v>39</v>
      </c>
      <c r="B54" s="5" t="s">
        <v>37</v>
      </c>
      <c r="C54" s="5">
        <v>180</v>
      </c>
      <c r="D54" s="5">
        <f>C54*3.7/100</f>
        <v>6.66</v>
      </c>
      <c r="E54" s="5">
        <f>C54*3.3/100</f>
        <v>5.94</v>
      </c>
      <c r="F54" s="5">
        <f>C54*19.7/100</f>
        <v>35.46</v>
      </c>
      <c r="G54" s="5">
        <f>C54*123/100</f>
        <v>221.4</v>
      </c>
    </row>
    <row r="55" spans="1:7" x14ac:dyDescent="0.25">
      <c r="A55" s="5" t="s">
        <v>22</v>
      </c>
      <c r="B55" s="5" t="s">
        <v>19</v>
      </c>
      <c r="C55" s="5">
        <v>200</v>
      </c>
      <c r="D55" s="5">
        <f>C55*0.2/200</f>
        <v>0.2</v>
      </c>
      <c r="E55" s="5">
        <f>C55*0.1/200</f>
        <v>0.1</v>
      </c>
      <c r="F55" s="5">
        <f>C55*9.3/200</f>
        <v>9.3000000000000007</v>
      </c>
      <c r="G55" s="5">
        <f>C55*38/200</f>
        <v>38</v>
      </c>
    </row>
    <row r="56" spans="1:7" x14ac:dyDescent="0.25">
      <c r="A56" s="5" t="s">
        <v>53</v>
      </c>
      <c r="B56" s="5" t="s">
        <v>54</v>
      </c>
      <c r="C56" s="5">
        <v>50</v>
      </c>
      <c r="D56" s="5">
        <f>C56*7.6/100</f>
        <v>3.8</v>
      </c>
      <c r="E56" s="5">
        <f>C56*0.8/100</f>
        <v>0.4</v>
      </c>
      <c r="F56" s="5">
        <f>C56*49.2/100</f>
        <v>24.6</v>
      </c>
      <c r="G56" s="5">
        <f>C56*234/100</f>
        <v>117</v>
      </c>
    </row>
    <row r="57" spans="1:7" x14ac:dyDescent="0.25">
      <c r="A57" s="5" t="s">
        <v>15</v>
      </c>
      <c r="B57" s="5" t="s">
        <v>16</v>
      </c>
      <c r="C57" s="5">
        <v>50</v>
      </c>
      <c r="D57" s="5">
        <f>C57*8/100</f>
        <v>4</v>
      </c>
      <c r="E57" s="5">
        <f>C57*1.5/100</f>
        <v>0.75</v>
      </c>
      <c r="F57" s="5">
        <f>C57*40.1/100</f>
        <v>20.05</v>
      </c>
      <c r="G57" s="5">
        <f>C57*206/100</f>
        <v>103</v>
      </c>
    </row>
    <row r="58" spans="1:7" x14ac:dyDescent="0.25">
      <c r="A58" s="40" t="s">
        <v>67</v>
      </c>
      <c r="B58" s="41"/>
      <c r="C58" s="5">
        <f>SUM(C51:C57)</f>
        <v>880</v>
      </c>
      <c r="D58" s="5">
        <f>SUM(D51:D57)</f>
        <v>30.259999999999998</v>
      </c>
      <c r="E58" s="28">
        <f>SUM(E51:E57)</f>
        <v>31.935000000000002</v>
      </c>
      <c r="F58" s="5">
        <f>SUM(F51:F57)</f>
        <v>110.485</v>
      </c>
      <c r="G58" s="5">
        <f>SUM(G51:G57)</f>
        <v>848.6</v>
      </c>
    </row>
    <row r="60" spans="1:7" x14ac:dyDescent="0.25">
      <c r="A60" s="18"/>
      <c r="B60" s="18"/>
      <c r="C60" s="18"/>
      <c r="D60" s="18"/>
      <c r="E60" s="18"/>
      <c r="F60" s="18"/>
      <c r="G60" s="18"/>
    </row>
    <row r="65" spans="1:7" x14ac:dyDescent="0.25">
      <c r="A65" s="2" t="s">
        <v>35</v>
      </c>
      <c r="B65" s="2"/>
      <c r="C65" s="2"/>
      <c r="D65" s="2"/>
      <c r="E65" s="2"/>
      <c r="F65" s="2"/>
      <c r="G65" s="2"/>
    </row>
    <row r="66" spans="1:7" ht="15.75" thickBot="1" x14ac:dyDescent="0.3">
      <c r="A66" s="6" t="s">
        <v>10</v>
      </c>
      <c r="B66" s="16"/>
      <c r="C66" s="16"/>
      <c r="D66" s="16"/>
      <c r="E66" s="16"/>
      <c r="F66" s="16"/>
      <c r="G66" s="16"/>
    </row>
    <row r="67" spans="1:7" ht="15.75" thickBot="1" x14ac:dyDescent="0.3">
      <c r="A67" s="42" t="s">
        <v>0</v>
      </c>
      <c r="B67" s="42" t="s">
        <v>1</v>
      </c>
      <c r="C67" s="1" t="s">
        <v>2</v>
      </c>
      <c r="D67" s="44" t="s">
        <v>4</v>
      </c>
      <c r="E67" s="45"/>
      <c r="F67" s="45"/>
      <c r="G67" s="46"/>
    </row>
    <row r="68" spans="1:7" ht="26.25" x14ac:dyDescent="0.25">
      <c r="A68" s="43"/>
      <c r="B68" s="43"/>
      <c r="C68" s="4" t="s">
        <v>3</v>
      </c>
      <c r="D68" s="4" t="s">
        <v>5</v>
      </c>
      <c r="E68" s="4" t="s">
        <v>6</v>
      </c>
      <c r="F68" s="4" t="s">
        <v>7</v>
      </c>
      <c r="G68" s="4" t="s">
        <v>8</v>
      </c>
    </row>
    <row r="69" spans="1:7" x14ac:dyDescent="0.25">
      <c r="A69" s="5" t="s">
        <v>63</v>
      </c>
      <c r="B69" s="5" t="s">
        <v>64</v>
      </c>
      <c r="C69" s="5">
        <v>100</v>
      </c>
      <c r="D69" s="5">
        <f>C69*0.7/100</f>
        <v>0.7</v>
      </c>
      <c r="E69" s="5">
        <f>C69*6/100</f>
        <v>6</v>
      </c>
      <c r="F69" s="5">
        <f>C69*1.8/100</f>
        <v>1.8</v>
      </c>
      <c r="G69" s="5">
        <f>C69*64/100</f>
        <v>64</v>
      </c>
    </row>
    <row r="70" spans="1:7" x14ac:dyDescent="0.25">
      <c r="A70" s="5" t="s">
        <v>52</v>
      </c>
      <c r="B70" s="5" t="s">
        <v>51</v>
      </c>
      <c r="C70" s="5">
        <v>250</v>
      </c>
      <c r="D70" s="5">
        <f>C70*9.3/1000</f>
        <v>2.3250000000000002</v>
      </c>
      <c r="E70" s="5">
        <f>C70*18.9/1000</f>
        <v>4.7249999999999996</v>
      </c>
      <c r="F70" s="5">
        <f>C70*41.3/1000</f>
        <v>10.324999999999999</v>
      </c>
      <c r="G70" s="5">
        <f>C70*373/1000</f>
        <v>93.25</v>
      </c>
    </row>
    <row r="71" spans="1:7" x14ac:dyDescent="0.25">
      <c r="A71" s="5" t="s">
        <v>127</v>
      </c>
      <c r="B71" s="5" t="s">
        <v>128</v>
      </c>
      <c r="C71" s="5">
        <v>100</v>
      </c>
      <c r="D71" s="5">
        <v>11</v>
      </c>
      <c r="E71" s="5">
        <v>12.4</v>
      </c>
      <c r="F71" s="5">
        <v>4</v>
      </c>
      <c r="G71" s="5">
        <v>173</v>
      </c>
    </row>
    <row r="72" spans="1:7" x14ac:dyDescent="0.25">
      <c r="A72" s="5" t="s">
        <v>57</v>
      </c>
      <c r="B72" s="5" t="s">
        <v>58</v>
      </c>
      <c r="C72" s="5">
        <v>200</v>
      </c>
      <c r="D72" s="5">
        <f>C72*25.1/1000</f>
        <v>5.0199999999999996</v>
      </c>
      <c r="E72" s="5">
        <f>C72*36.2/1000</f>
        <v>7.2400000000000011</v>
      </c>
      <c r="F72" s="5">
        <f>C72*259/1000</f>
        <v>51.8</v>
      </c>
      <c r="G72" s="5">
        <f>C72*1462/1000</f>
        <v>292.39999999999998</v>
      </c>
    </row>
    <row r="73" spans="1:7" x14ac:dyDescent="0.25">
      <c r="A73" s="5" t="s">
        <v>13</v>
      </c>
      <c r="B73" s="5" t="s">
        <v>14</v>
      </c>
      <c r="C73" s="5">
        <v>200</v>
      </c>
      <c r="D73" s="5">
        <v>0.6</v>
      </c>
      <c r="E73" s="5">
        <v>0.1</v>
      </c>
      <c r="F73" s="5">
        <v>20.100000000000001</v>
      </c>
      <c r="G73" s="5">
        <v>84</v>
      </c>
    </row>
    <row r="74" spans="1:7" x14ac:dyDescent="0.25">
      <c r="A74" s="5" t="s">
        <v>53</v>
      </c>
      <c r="B74" s="5" t="s">
        <v>54</v>
      </c>
      <c r="C74" s="5">
        <v>100</v>
      </c>
      <c r="D74" s="5">
        <f>C74*7.6/100</f>
        <v>7.6</v>
      </c>
      <c r="E74" s="5">
        <f>C74*0.8/100</f>
        <v>0.8</v>
      </c>
      <c r="F74" s="5">
        <f>C74*49.2/100</f>
        <v>49.2</v>
      </c>
      <c r="G74" s="5">
        <f>C74*234/100</f>
        <v>234</v>
      </c>
    </row>
    <row r="75" spans="1:7" x14ac:dyDescent="0.25">
      <c r="A75" s="5" t="s">
        <v>15</v>
      </c>
      <c r="B75" s="5" t="s">
        <v>16</v>
      </c>
      <c r="C75" s="5">
        <v>50</v>
      </c>
      <c r="D75" s="5">
        <f>C75*8/100</f>
        <v>4</v>
      </c>
      <c r="E75" s="5">
        <f>C75*1.5/100</f>
        <v>0.75</v>
      </c>
      <c r="F75" s="5">
        <f>C75*40.1/100</f>
        <v>20.05</v>
      </c>
      <c r="G75" s="5">
        <f>C75*206/100</f>
        <v>103</v>
      </c>
    </row>
    <row r="76" spans="1:7" x14ac:dyDescent="0.25">
      <c r="A76" s="40" t="s">
        <v>67</v>
      </c>
      <c r="B76" s="41"/>
      <c r="C76" s="5">
        <f>SUM(C69:C75)</f>
        <v>1000</v>
      </c>
      <c r="D76" s="5">
        <f>SUM(D69:D75)</f>
        <v>31.245000000000005</v>
      </c>
      <c r="E76" s="28">
        <f>SUM(E69:E75)</f>
        <v>32.015000000000001</v>
      </c>
      <c r="F76" s="28">
        <f>SUM(F69:F75)</f>
        <v>157.27500000000003</v>
      </c>
      <c r="G76" s="28">
        <f>SUM(G69:G75)</f>
        <v>1043.6500000000001</v>
      </c>
    </row>
    <row r="78" spans="1:7" x14ac:dyDescent="0.25">
      <c r="A78" s="2" t="s">
        <v>40</v>
      </c>
      <c r="B78" s="2"/>
      <c r="C78" s="2"/>
      <c r="D78" s="2"/>
      <c r="E78" s="2"/>
      <c r="F78" s="2"/>
      <c r="G78" s="2"/>
    </row>
    <row r="79" spans="1:7" ht="15.75" thickBot="1" x14ac:dyDescent="0.3">
      <c r="A79" s="6" t="s">
        <v>10</v>
      </c>
      <c r="B79" s="16"/>
      <c r="C79" s="16"/>
      <c r="D79" s="16"/>
      <c r="E79" s="16"/>
      <c r="F79" s="16"/>
      <c r="G79" s="16"/>
    </row>
    <row r="80" spans="1:7" ht="15.75" thickBot="1" x14ac:dyDescent="0.3">
      <c r="A80" s="42" t="s">
        <v>0</v>
      </c>
      <c r="B80" s="42" t="s">
        <v>1</v>
      </c>
      <c r="C80" s="1" t="s">
        <v>2</v>
      </c>
      <c r="D80" s="44" t="s">
        <v>4</v>
      </c>
      <c r="E80" s="45"/>
      <c r="F80" s="45"/>
      <c r="G80" s="46"/>
    </row>
    <row r="81" spans="1:7" ht="26.25" x14ac:dyDescent="0.25">
      <c r="A81" s="43"/>
      <c r="B81" s="43"/>
      <c r="C81" s="4" t="s">
        <v>3</v>
      </c>
      <c r="D81" s="4" t="s">
        <v>5</v>
      </c>
      <c r="E81" s="4" t="s">
        <v>6</v>
      </c>
      <c r="F81" s="4" t="s">
        <v>7</v>
      </c>
      <c r="G81" s="4" t="s">
        <v>8</v>
      </c>
    </row>
    <row r="82" spans="1:7" ht="30" x14ac:dyDescent="0.25">
      <c r="A82" s="5" t="s">
        <v>26</v>
      </c>
      <c r="B82" s="7" t="s">
        <v>27</v>
      </c>
      <c r="C82" s="5">
        <v>250</v>
      </c>
      <c r="D82" s="5">
        <f>C82*11.6/1000</f>
        <v>2.9</v>
      </c>
      <c r="E82" s="5">
        <f>C82*16.6/1000</f>
        <v>4.1500000000000004</v>
      </c>
      <c r="F82" s="5">
        <f>C82*48.8/1000</f>
        <v>12.2</v>
      </c>
      <c r="G82" s="5">
        <f>C82*391/1000</f>
        <v>97.75</v>
      </c>
    </row>
    <row r="83" spans="1:7" x14ac:dyDescent="0.25">
      <c r="A83" s="5" t="s">
        <v>28</v>
      </c>
      <c r="B83" s="5" t="s">
        <v>29</v>
      </c>
      <c r="C83" s="5">
        <v>250</v>
      </c>
      <c r="D83" s="5">
        <f>C83*21/200</f>
        <v>26.25</v>
      </c>
      <c r="E83" s="5">
        <f>C83*19/200</f>
        <v>23.75</v>
      </c>
      <c r="F83" s="5">
        <f>C83*15.9/200</f>
        <v>19.875</v>
      </c>
      <c r="G83" s="5">
        <f>C83*319/200</f>
        <v>398.75</v>
      </c>
    </row>
    <row r="84" spans="1:7" x14ac:dyDescent="0.25">
      <c r="A84" s="5" t="s">
        <v>22</v>
      </c>
      <c r="B84" s="5" t="s">
        <v>19</v>
      </c>
      <c r="C84" s="5">
        <v>200</v>
      </c>
      <c r="D84" s="5">
        <f>C84*0.2/200</f>
        <v>0.2</v>
      </c>
      <c r="E84" s="5">
        <f>C84*0.1/200</f>
        <v>0.1</v>
      </c>
      <c r="F84" s="5">
        <f>C84*9.3/200</f>
        <v>9.3000000000000007</v>
      </c>
      <c r="G84" s="5">
        <f>C84*38/200</f>
        <v>38</v>
      </c>
    </row>
    <row r="85" spans="1:7" x14ac:dyDescent="0.25">
      <c r="A85" s="5" t="s">
        <v>53</v>
      </c>
      <c r="B85" s="5" t="s">
        <v>54</v>
      </c>
      <c r="C85" s="5">
        <v>100</v>
      </c>
      <c r="D85" s="5">
        <f>C85*7.6/100</f>
        <v>7.6</v>
      </c>
      <c r="E85" s="5">
        <f>C85*0.8/100</f>
        <v>0.8</v>
      </c>
      <c r="F85" s="5">
        <f>C85*49.2/100</f>
        <v>49.2</v>
      </c>
      <c r="G85" s="5">
        <f>C85*234/100</f>
        <v>234</v>
      </c>
    </row>
    <row r="86" spans="1:7" x14ac:dyDescent="0.25">
      <c r="A86" s="5" t="s">
        <v>15</v>
      </c>
      <c r="B86" s="5" t="s">
        <v>16</v>
      </c>
      <c r="C86" s="5">
        <v>50</v>
      </c>
      <c r="D86" s="5">
        <f>C86*8/100</f>
        <v>4</v>
      </c>
      <c r="E86" s="5">
        <f>C86*1.5/100</f>
        <v>0.75</v>
      </c>
      <c r="F86" s="5">
        <f>C86*40.1/100</f>
        <v>20.05</v>
      </c>
      <c r="G86" s="5">
        <f>C86*206/100</f>
        <v>103</v>
      </c>
    </row>
    <row r="87" spans="1:7" x14ac:dyDescent="0.25">
      <c r="A87" s="40" t="s">
        <v>67</v>
      </c>
      <c r="B87" s="41"/>
      <c r="C87" s="5">
        <f>SUM(C82:C86)</f>
        <v>850</v>
      </c>
      <c r="D87" s="5">
        <f>SUM(D82:D86)</f>
        <v>40.949999999999996</v>
      </c>
      <c r="E87" s="5">
        <f>SUM(E82:E86)</f>
        <v>29.55</v>
      </c>
      <c r="F87" s="28">
        <f>SUM(F82:F86)</f>
        <v>110.625</v>
      </c>
      <c r="G87" s="5">
        <f>SUM(G82:G86)</f>
        <v>871.5</v>
      </c>
    </row>
    <row r="90" spans="1:7" x14ac:dyDescent="0.25">
      <c r="A90" s="18"/>
      <c r="B90" s="18"/>
      <c r="C90" s="18"/>
      <c r="D90" s="18"/>
      <c r="E90" s="18"/>
      <c r="F90" s="18"/>
      <c r="G90" s="18"/>
    </row>
    <row r="92" spans="1:7" x14ac:dyDescent="0.25">
      <c r="A92" s="18"/>
      <c r="B92" s="18"/>
      <c r="C92" s="18"/>
      <c r="D92" s="18"/>
      <c r="E92" s="18"/>
      <c r="F92" s="18"/>
      <c r="G92" s="18"/>
    </row>
    <row r="93" spans="1:7" x14ac:dyDescent="0.25">
      <c r="A93" s="18"/>
      <c r="B93" s="18"/>
      <c r="C93" s="18"/>
      <c r="D93" s="18"/>
      <c r="E93" s="18"/>
      <c r="F93" s="18"/>
      <c r="G93" s="18"/>
    </row>
    <row r="95" spans="1:7" x14ac:dyDescent="0.25">
      <c r="A95" s="2" t="s">
        <v>43</v>
      </c>
      <c r="B95" s="2"/>
      <c r="C95" s="2"/>
      <c r="D95" s="2"/>
      <c r="E95" s="2"/>
      <c r="F95" s="2"/>
      <c r="G95" s="2"/>
    </row>
    <row r="96" spans="1:7" ht="15.75" thickBot="1" x14ac:dyDescent="0.3">
      <c r="A96" s="6" t="s">
        <v>10</v>
      </c>
      <c r="B96" s="16"/>
      <c r="C96" s="16"/>
      <c r="D96" s="16"/>
      <c r="E96" s="16"/>
      <c r="F96" s="16"/>
      <c r="G96" s="16"/>
    </row>
    <row r="97" spans="1:7" ht="15.75" thickBot="1" x14ac:dyDescent="0.3">
      <c r="A97" s="42" t="s">
        <v>0</v>
      </c>
      <c r="B97" s="42" t="s">
        <v>1</v>
      </c>
      <c r="C97" s="1" t="s">
        <v>2</v>
      </c>
      <c r="D97" s="44" t="s">
        <v>4</v>
      </c>
      <c r="E97" s="45"/>
      <c r="F97" s="45"/>
      <c r="G97" s="46"/>
    </row>
    <row r="98" spans="1:7" ht="26.25" x14ac:dyDescent="0.25">
      <c r="A98" s="43"/>
      <c r="B98" s="43"/>
      <c r="C98" s="4" t="s">
        <v>3</v>
      </c>
      <c r="D98" s="4" t="s">
        <v>5</v>
      </c>
      <c r="E98" s="4" t="s">
        <v>6</v>
      </c>
      <c r="F98" s="4" t="s">
        <v>7</v>
      </c>
      <c r="G98" s="4" t="s">
        <v>8</v>
      </c>
    </row>
    <row r="99" spans="1:7" x14ac:dyDescent="0.25">
      <c r="A99" s="5" t="s">
        <v>11</v>
      </c>
      <c r="B99" s="5" t="s">
        <v>12</v>
      </c>
      <c r="C99" s="5">
        <v>250</v>
      </c>
      <c r="D99" s="5">
        <f>C99*6/1000</f>
        <v>1.5</v>
      </c>
      <c r="E99" s="5">
        <f>C99*18/1000</f>
        <v>4.5</v>
      </c>
      <c r="F99" s="5">
        <f>C99*15.2/1000</f>
        <v>3.8</v>
      </c>
      <c r="G99" s="5">
        <f>C99*247/1000</f>
        <v>61.75</v>
      </c>
    </row>
    <row r="100" spans="1:7" x14ac:dyDescent="0.25">
      <c r="A100" s="5" t="s">
        <v>55</v>
      </c>
      <c r="B100" s="5" t="s">
        <v>56</v>
      </c>
      <c r="C100" s="5">
        <v>100</v>
      </c>
      <c r="D100" s="5">
        <f>C100*17.3/100</f>
        <v>17.3</v>
      </c>
      <c r="E100" s="5">
        <f>C100*21/100</f>
        <v>21</v>
      </c>
      <c r="F100" s="5">
        <f>C100*9.9/100</f>
        <v>9.9</v>
      </c>
      <c r="G100" s="5">
        <f>C100*298/100</f>
        <v>298</v>
      </c>
    </row>
    <row r="101" spans="1:7" x14ac:dyDescent="0.25">
      <c r="A101" s="5" t="s">
        <v>33</v>
      </c>
      <c r="B101" s="5" t="s">
        <v>34</v>
      </c>
      <c r="C101" s="5">
        <v>180</v>
      </c>
      <c r="D101" s="5">
        <f>C101*2.7/100</f>
        <v>4.8600000000000003</v>
      </c>
      <c r="E101" s="5">
        <f>C101*4/100</f>
        <v>7.2</v>
      </c>
      <c r="F101" s="5">
        <f>C101*5.8/100</f>
        <v>10.44</v>
      </c>
      <c r="G101" s="5">
        <f>C101*70/100</f>
        <v>126</v>
      </c>
    </row>
    <row r="102" spans="1:7" x14ac:dyDescent="0.25">
      <c r="A102" s="5" t="s">
        <v>13</v>
      </c>
      <c r="B102" s="5" t="s">
        <v>14</v>
      </c>
      <c r="C102" s="5">
        <v>200</v>
      </c>
      <c r="D102" s="5">
        <f>C102*0.6/200</f>
        <v>0.6</v>
      </c>
      <c r="E102" s="5">
        <f>C102*0.1/200</f>
        <v>0.1</v>
      </c>
      <c r="F102" s="5">
        <f>C102*20.1/200</f>
        <v>20.100000000000001</v>
      </c>
      <c r="G102" s="5">
        <f>C102*84/200</f>
        <v>84</v>
      </c>
    </row>
    <row r="103" spans="1:7" x14ac:dyDescent="0.25">
      <c r="A103" s="5" t="s">
        <v>53</v>
      </c>
      <c r="B103" s="5" t="s">
        <v>54</v>
      </c>
      <c r="C103" s="5">
        <v>100</v>
      </c>
      <c r="D103" s="5">
        <f>C103*7.6/100</f>
        <v>7.6</v>
      </c>
      <c r="E103" s="5">
        <f>C103*0.8/100</f>
        <v>0.8</v>
      </c>
      <c r="F103" s="5">
        <f>C103*49.2/100</f>
        <v>49.2</v>
      </c>
      <c r="G103" s="5">
        <f>C103*234/100</f>
        <v>234</v>
      </c>
    </row>
    <row r="104" spans="1:7" x14ac:dyDescent="0.25">
      <c r="A104" s="11" t="s">
        <v>15</v>
      </c>
      <c r="B104" s="11" t="s">
        <v>16</v>
      </c>
      <c r="C104" s="5">
        <v>50</v>
      </c>
      <c r="D104" s="5">
        <f>C104*8/100</f>
        <v>4</v>
      </c>
      <c r="E104" s="5">
        <f>C104*1.5/100</f>
        <v>0.75</v>
      </c>
      <c r="F104" s="5">
        <f>C104*40.1/100</f>
        <v>20.05</v>
      </c>
      <c r="G104" s="5">
        <f>C104*206/100</f>
        <v>103</v>
      </c>
    </row>
    <row r="105" spans="1:7" x14ac:dyDescent="0.25">
      <c r="A105" s="40" t="s">
        <v>67</v>
      </c>
      <c r="B105" s="41"/>
      <c r="C105" s="12">
        <f>SUM(C99:C104)</f>
        <v>880</v>
      </c>
      <c r="D105" s="12">
        <f>SUM(D99:D104)</f>
        <v>35.86</v>
      </c>
      <c r="E105" s="12">
        <f>SUM(E99:E104)</f>
        <v>34.35</v>
      </c>
      <c r="F105" s="12">
        <f>SUM(F99:F104)</f>
        <v>113.49</v>
      </c>
      <c r="G105" s="12">
        <f>SUM(G99:G104)</f>
        <v>906.75</v>
      </c>
    </row>
    <row r="107" spans="1:7" x14ac:dyDescent="0.25">
      <c r="A107" s="2" t="s">
        <v>44</v>
      </c>
      <c r="B107" s="2"/>
      <c r="C107" s="2"/>
      <c r="D107" s="2"/>
      <c r="E107" s="2"/>
      <c r="F107" s="2"/>
      <c r="G107" s="2"/>
    </row>
    <row r="108" spans="1:7" ht="15.75" thickBot="1" x14ac:dyDescent="0.3">
      <c r="A108" s="6" t="s">
        <v>10</v>
      </c>
      <c r="B108" s="16"/>
      <c r="C108" s="16"/>
      <c r="D108" s="16"/>
      <c r="E108" s="16"/>
      <c r="F108" s="16"/>
      <c r="G108" s="16"/>
    </row>
    <row r="109" spans="1:7" ht="15.75" thickBot="1" x14ac:dyDescent="0.3">
      <c r="A109" s="42" t="s">
        <v>0</v>
      </c>
      <c r="B109" s="42" t="s">
        <v>1</v>
      </c>
      <c r="C109" s="1" t="s">
        <v>2</v>
      </c>
      <c r="D109" s="44" t="s">
        <v>4</v>
      </c>
      <c r="E109" s="45"/>
      <c r="F109" s="45"/>
      <c r="G109" s="46"/>
    </row>
    <row r="110" spans="1:7" ht="26.25" x14ac:dyDescent="0.25">
      <c r="A110" s="43"/>
      <c r="B110" s="43"/>
      <c r="C110" s="4" t="s">
        <v>3</v>
      </c>
      <c r="D110" s="4" t="s">
        <v>5</v>
      </c>
      <c r="E110" s="4" t="s">
        <v>6</v>
      </c>
      <c r="F110" s="4" t="s">
        <v>7</v>
      </c>
      <c r="G110" s="4" t="s">
        <v>8</v>
      </c>
    </row>
    <row r="111" spans="1:7" x14ac:dyDescent="0.25">
      <c r="A111" s="5" t="s">
        <v>105</v>
      </c>
      <c r="B111" s="5" t="s">
        <v>106</v>
      </c>
      <c r="C111" s="5">
        <v>100</v>
      </c>
      <c r="D111" s="5">
        <f>C111*1.4/100</f>
        <v>1.4</v>
      </c>
      <c r="E111" s="5">
        <f>C111*6.1/100</f>
        <v>6.1</v>
      </c>
      <c r="F111" s="5">
        <f>C111*7.6/100</f>
        <v>7.6</v>
      </c>
      <c r="G111" s="5">
        <f>C111*91/100</f>
        <v>91</v>
      </c>
    </row>
    <row r="112" spans="1:7" x14ac:dyDescent="0.25">
      <c r="A112" s="5" t="s">
        <v>23</v>
      </c>
      <c r="B112" s="5" t="s">
        <v>24</v>
      </c>
      <c r="C112" s="5">
        <v>200</v>
      </c>
      <c r="D112" s="5">
        <v>1.48</v>
      </c>
      <c r="E112" s="5">
        <v>3.54</v>
      </c>
      <c r="F112" s="5">
        <v>5.56</v>
      </c>
      <c r="G112" s="5">
        <v>60</v>
      </c>
    </row>
    <row r="113" spans="1:16" x14ac:dyDescent="0.25">
      <c r="A113" s="5" t="s">
        <v>135</v>
      </c>
      <c r="B113" s="5" t="s">
        <v>134</v>
      </c>
      <c r="C113" s="5">
        <v>100</v>
      </c>
      <c r="D113" s="5">
        <v>10.5</v>
      </c>
      <c r="E113" s="5">
        <v>17.100000000000001</v>
      </c>
      <c r="F113" s="5">
        <v>0.2</v>
      </c>
      <c r="G113" s="5">
        <v>197</v>
      </c>
    </row>
    <row r="114" spans="1:16" x14ac:dyDescent="0.25">
      <c r="A114" s="5" t="s">
        <v>39</v>
      </c>
      <c r="B114" s="5" t="s">
        <v>37</v>
      </c>
      <c r="C114" s="5">
        <v>180</v>
      </c>
      <c r="D114" s="5">
        <f>C114*3.7/100</f>
        <v>6.66</v>
      </c>
      <c r="E114" s="5">
        <f>C114*3.3/100</f>
        <v>5.94</v>
      </c>
      <c r="F114" s="5">
        <f>C114*19.7/100</f>
        <v>35.46</v>
      </c>
      <c r="G114" s="5">
        <f>C114*123/100</f>
        <v>221.4</v>
      </c>
    </row>
    <row r="115" spans="1:16" x14ac:dyDescent="0.25">
      <c r="A115" s="5" t="s">
        <v>22</v>
      </c>
      <c r="B115" s="5" t="s">
        <v>19</v>
      </c>
      <c r="C115" s="5">
        <v>200</v>
      </c>
      <c r="D115" s="5">
        <f>C115*0.2/200</f>
        <v>0.2</v>
      </c>
      <c r="E115" s="5">
        <f>C115*0.1/200</f>
        <v>0.1</v>
      </c>
      <c r="F115" s="5">
        <f>C115*9.3/200</f>
        <v>9.3000000000000007</v>
      </c>
      <c r="G115" s="5">
        <f>C115*38/200</f>
        <v>38</v>
      </c>
    </row>
    <row r="116" spans="1:16" x14ac:dyDescent="0.25">
      <c r="A116" s="5" t="s">
        <v>53</v>
      </c>
      <c r="B116" s="5" t="s">
        <v>54</v>
      </c>
      <c r="C116" s="5">
        <v>100</v>
      </c>
      <c r="D116" s="5">
        <f>C116*7.6/100</f>
        <v>7.6</v>
      </c>
      <c r="E116" s="5">
        <f>C116*0.8/100</f>
        <v>0.8</v>
      </c>
      <c r="F116" s="5">
        <f>C116*49.2/100</f>
        <v>49.2</v>
      </c>
      <c r="G116" s="5">
        <f>C116*234/100</f>
        <v>234</v>
      </c>
    </row>
    <row r="117" spans="1:16" x14ac:dyDescent="0.25">
      <c r="A117" s="11" t="s">
        <v>15</v>
      </c>
      <c r="B117" s="11" t="s">
        <v>16</v>
      </c>
      <c r="C117" s="11">
        <v>50</v>
      </c>
      <c r="D117" s="11">
        <f>C117*8/100</f>
        <v>4</v>
      </c>
      <c r="E117" s="11">
        <f>C117*1.5/100</f>
        <v>0.75</v>
      </c>
      <c r="F117" s="11">
        <f>C117*40.1/100</f>
        <v>20.05</v>
      </c>
      <c r="G117" s="11">
        <f>C117*206/100</f>
        <v>103</v>
      </c>
    </row>
    <row r="118" spans="1:16" x14ac:dyDescent="0.25">
      <c r="A118" s="40" t="s">
        <v>67</v>
      </c>
      <c r="B118" s="41"/>
      <c r="C118" s="5">
        <f>SUM(C111:C117)</f>
        <v>930</v>
      </c>
      <c r="D118" s="5">
        <f>SUM(D111:D117)</f>
        <v>31.839999999999996</v>
      </c>
      <c r="E118" s="28">
        <f>SUM(E111:E117)</f>
        <v>34.33</v>
      </c>
      <c r="F118" s="28">
        <f>SUM(F111:F117)</f>
        <v>127.37</v>
      </c>
      <c r="G118" s="28">
        <f>SUM(G111:G117)</f>
        <v>944.4</v>
      </c>
    </row>
    <row r="121" spans="1:16" x14ac:dyDescent="0.25">
      <c r="A121" s="18"/>
      <c r="B121" s="18"/>
      <c r="C121" s="18"/>
      <c r="D121" s="18"/>
      <c r="E121" s="18"/>
      <c r="F121" s="18"/>
      <c r="G121" s="18"/>
    </row>
    <row r="126" spans="1:16" x14ac:dyDescent="0.25">
      <c r="A126" s="2" t="s">
        <v>47</v>
      </c>
      <c r="B126" s="2"/>
      <c r="C126" s="2"/>
      <c r="D126" s="2"/>
      <c r="E126" s="2"/>
      <c r="F126" s="2"/>
      <c r="G126" s="2"/>
      <c r="I126" s="9"/>
      <c r="J126" s="9"/>
      <c r="K126" s="9"/>
      <c r="L126" s="9"/>
      <c r="M126" s="9"/>
      <c r="N126" s="9"/>
      <c r="O126" s="9"/>
      <c r="P126" s="9"/>
    </row>
    <row r="127" spans="1:16" ht="15.75" thickBot="1" x14ac:dyDescent="0.3">
      <c r="A127" s="6" t="s">
        <v>10</v>
      </c>
      <c r="B127" s="16"/>
      <c r="C127" s="16"/>
      <c r="D127" s="16"/>
      <c r="E127" s="16"/>
      <c r="F127" s="16"/>
      <c r="G127" s="16"/>
      <c r="I127" s="9"/>
      <c r="J127" s="9"/>
      <c r="K127" s="9"/>
      <c r="L127" s="9"/>
      <c r="M127" s="9"/>
      <c r="N127" s="9"/>
      <c r="O127" s="9"/>
      <c r="P127" s="9"/>
    </row>
    <row r="128" spans="1:16" ht="15.75" thickBot="1" x14ac:dyDescent="0.3">
      <c r="A128" s="42" t="s">
        <v>0</v>
      </c>
      <c r="B128" s="42" t="s">
        <v>1</v>
      </c>
      <c r="C128" s="1" t="s">
        <v>2</v>
      </c>
      <c r="D128" s="44" t="s">
        <v>4</v>
      </c>
      <c r="E128" s="45"/>
      <c r="F128" s="45"/>
      <c r="G128" s="46"/>
      <c r="I128" s="9"/>
      <c r="J128" s="9"/>
      <c r="K128" s="9"/>
      <c r="L128" s="9"/>
      <c r="M128" s="9"/>
      <c r="N128" s="9"/>
      <c r="O128" s="9"/>
      <c r="P128" s="9"/>
    </row>
    <row r="129" spans="1:16" ht="26.25" x14ac:dyDescent="0.25">
      <c r="A129" s="43"/>
      <c r="B129" s="43"/>
      <c r="C129" s="4" t="s">
        <v>3</v>
      </c>
      <c r="D129" s="4" t="s">
        <v>5</v>
      </c>
      <c r="E129" s="4" t="s">
        <v>6</v>
      </c>
      <c r="F129" s="4" t="s">
        <v>7</v>
      </c>
      <c r="G129" s="4" t="s">
        <v>8</v>
      </c>
      <c r="I129" s="9"/>
      <c r="J129" s="9"/>
      <c r="K129" s="9"/>
      <c r="L129" s="9"/>
      <c r="M129" s="9"/>
      <c r="N129" s="9"/>
      <c r="O129" s="9"/>
      <c r="P129" s="9"/>
    </row>
    <row r="130" spans="1:16" x14ac:dyDescent="0.25">
      <c r="A130" s="5" t="s">
        <v>52</v>
      </c>
      <c r="B130" s="5" t="s">
        <v>51</v>
      </c>
      <c r="C130" s="5">
        <v>200</v>
      </c>
      <c r="D130" s="5">
        <v>1.8600000000000003</v>
      </c>
      <c r="E130" s="5">
        <v>3.7799999999999994</v>
      </c>
      <c r="F130" s="5">
        <v>8.26</v>
      </c>
      <c r="G130" s="5">
        <v>74.599999999999994</v>
      </c>
      <c r="I130" s="9"/>
      <c r="J130" s="25"/>
      <c r="K130" s="25"/>
      <c r="L130" s="25"/>
      <c r="M130" s="25"/>
      <c r="N130" s="25"/>
      <c r="O130" s="25"/>
      <c r="P130" s="25"/>
    </row>
    <row r="131" spans="1:16" x14ac:dyDescent="0.25">
      <c r="A131" s="5" t="s">
        <v>129</v>
      </c>
      <c r="B131" s="5" t="s">
        <v>136</v>
      </c>
      <c r="C131" s="5">
        <v>100</v>
      </c>
      <c r="D131" s="5">
        <v>20</v>
      </c>
      <c r="E131" s="5">
        <v>19.5</v>
      </c>
      <c r="F131" s="5">
        <v>3.3</v>
      </c>
      <c r="G131" s="5">
        <v>258</v>
      </c>
      <c r="I131" s="9"/>
      <c r="J131" s="9"/>
      <c r="K131" s="9"/>
      <c r="L131" s="9"/>
      <c r="M131" s="9"/>
      <c r="N131" s="9"/>
      <c r="O131" s="9"/>
      <c r="P131" s="9"/>
    </row>
    <row r="132" spans="1:16" x14ac:dyDescent="0.25">
      <c r="A132" s="5" t="s">
        <v>61</v>
      </c>
      <c r="B132" s="5" t="s">
        <v>62</v>
      </c>
      <c r="C132" s="5">
        <v>180</v>
      </c>
      <c r="D132" s="5">
        <f>C132*60/1100</f>
        <v>9.8181818181818183</v>
      </c>
      <c r="E132" s="5">
        <f>C132*33.8/1100</f>
        <v>5.5309090909090903</v>
      </c>
      <c r="F132" s="5">
        <f>C132*268.6/1100</f>
        <v>43.95272727272728</v>
      </c>
      <c r="G132" s="5">
        <f>C132*1620/1100</f>
        <v>265.09090909090907</v>
      </c>
      <c r="I132" s="9"/>
      <c r="J132" s="9"/>
      <c r="K132" s="9"/>
      <c r="L132" s="9"/>
      <c r="M132" s="9"/>
      <c r="N132" s="9"/>
      <c r="O132" s="9"/>
      <c r="P132" s="9"/>
    </row>
    <row r="133" spans="1:16" x14ac:dyDescent="0.25">
      <c r="A133" s="5" t="s">
        <v>13</v>
      </c>
      <c r="B133" s="5" t="s">
        <v>14</v>
      </c>
      <c r="C133" s="5">
        <v>200</v>
      </c>
      <c r="D133" s="5">
        <v>0.6</v>
      </c>
      <c r="E133" s="5">
        <v>0.1</v>
      </c>
      <c r="F133" s="5">
        <v>20.100000000000001</v>
      </c>
      <c r="G133" s="5">
        <v>84</v>
      </c>
      <c r="I133" s="9"/>
      <c r="J133" s="9"/>
      <c r="K133" s="9"/>
      <c r="L133" s="9"/>
      <c r="M133" s="9"/>
      <c r="N133" s="9"/>
      <c r="O133" s="9"/>
      <c r="P133" s="9"/>
    </row>
    <row r="134" spans="1:16" x14ac:dyDescent="0.25">
      <c r="A134" s="5" t="s">
        <v>53</v>
      </c>
      <c r="B134" s="5" t="s">
        <v>54</v>
      </c>
      <c r="C134" s="5">
        <v>100</v>
      </c>
      <c r="D134" s="5">
        <f>C134*7.6/100</f>
        <v>7.6</v>
      </c>
      <c r="E134" s="5">
        <f>C134*0.8/100</f>
        <v>0.8</v>
      </c>
      <c r="F134" s="5">
        <f>C134*49.2/100</f>
        <v>49.2</v>
      </c>
      <c r="G134" s="5">
        <f>C134*234/100</f>
        <v>234</v>
      </c>
    </row>
    <row r="135" spans="1:16" x14ac:dyDescent="0.25">
      <c r="A135" s="11" t="s">
        <v>15</v>
      </c>
      <c r="B135" s="11" t="s">
        <v>16</v>
      </c>
      <c r="C135" s="11">
        <v>50</v>
      </c>
      <c r="D135" s="11">
        <f>C135*8/100</f>
        <v>4</v>
      </c>
      <c r="E135" s="11">
        <f>C135*1.5/100</f>
        <v>0.75</v>
      </c>
      <c r="F135" s="11">
        <f>C135*40.1/100</f>
        <v>20.05</v>
      </c>
      <c r="G135" s="11">
        <f>C135*206/100</f>
        <v>103</v>
      </c>
    </row>
    <row r="136" spans="1:16" x14ac:dyDescent="0.25">
      <c r="A136" s="40" t="s">
        <v>67</v>
      </c>
      <c r="B136" s="41"/>
      <c r="C136" s="12">
        <f>SUM(C130:C135)</f>
        <v>830</v>
      </c>
      <c r="D136" s="12">
        <f>SUM(D130:D135)</f>
        <v>43.878181818181822</v>
      </c>
      <c r="E136" s="12">
        <f>SUM(E130:E135)</f>
        <v>30.460909090909094</v>
      </c>
      <c r="F136" s="12">
        <f>SUM(F130:F135)</f>
        <v>144.86272727272728</v>
      </c>
      <c r="G136" s="12">
        <f>SUM(G130:G135)</f>
        <v>1018.6909090909091</v>
      </c>
    </row>
    <row r="138" spans="1:16" x14ac:dyDescent="0.25">
      <c r="A138" s="2" t="s">
        <v>48</v>
      </c>
      <c r="B138" s="2"/>
      <c r="C138" s="2"/>
      <c r="D138" s="2"/>
      <c r="E138" s="2"/>
      <c r="F138" s="2"/>
      <c r="G138" s="2"/>
    </row>
    <row r="139" spans="1:16" ht="15.75" thickBot="1" x14ac:dyDescent="0.3">
      <c r="A139" s="6" t="s">
        <v>10</v>
      </c>
      <c r="B139" s="16"/>
      <c r="C139" s="16"/>
      <c r="D139" s="16"/>
      <c r="E139" s="16"/>
      <c r="F139" s="16"/>
      <c r="G139" s="16"/>
    </row>
    <row r="140" spans="1:16" ht="15.75" thickBot="1" x14ac:dyDescent="0.3">
      <c r="A140" s="42" t="s">
        <v>0</v>
      </c>
      <c r="B140" s="42" t="s">
        <v>1</v>
      </c>
      <c r="C140" s="1" t="s">
        <v>2</v>
      </c>
      <c r="D140" s="44" t="s">
        <v>4</v>
      </c>
      <c r="E140" s="45"/>
      <c r="F140" s="45"/>
      <c r="G140" s="46"/>
    </row>
    <row r="141" spans="1:16" ht="26.25" x14ac:dyDescent="0.25">
      <c r="A141" s="43"/>
      <c r="B141" s="43"/>
      <c r="C141" s="4" t="s">
        <v>3</v>
      </c>
      <c r="D141" s="4" t="s">
        <v>5</v>
      </c>
      <c r="E141" s="4" t="s">
        <v>6</v>
      </c>
      <c r="F141" s="4" t="s">
        <v>7</v>
      </c>
      <c r="G141" s="4" t="s">
        <v>8</v>
      </c>
    </row>
    <row r="142" spans="1:16" x14ac:dyDescent="0.25">
      <c r="A142" s="5" t="s">
        <v>41</v>
      </c>
      <c r="B142" s="5" t="s">
        <v>42</v>
      </c>
      <c r="C142" s="5">
        <v>250</v>
      </c>
      <c r="D142" s="5">
        <f>C142*11.1/1000</f>
        <v>2.7749999999999999</v>
      </c>
      <c r="E142" s="5">
        <f>C142*14.1/1000</f>
        <v>3.5249999999999999</v>
      </c>
      <c r="F142" s="5">
        <f>C142*39.2/1000</f>
        <v>9.8000000000000007</v>
      </c>
      <c r="G142" s="5">
        <f>C142*328/1000</f>
        <v>82</v>
      </c>
    </row>
    <row r="143" spans="1:16" ht="30" x14ac:dyDescent="0.25">
      <c r="A143" s="5" t="s">
        <v>38</v>
      </c>
      <c r="B143" s="7" t="s">
        <v>36</v>
      </c>
      <c r="C143" s="5">
        <v>100</v>
      </c>
      <c r="D143" s="5">
        <f>C143*14/70</f>
        <v>20</v>
      </c>
      <c r="E143" s="5">
        <f>C143*12.6/70</f>
        <v>18</v>
      </c>
      <c r="F143" s="5">
        <f>C143*7.5/70</f>
        <v>10.714285714285714</v>
      </c>
      <c r="G143" s="5">
        <f>C143*199/70</f>
        <v>284.28571428571428</v>
      </c>
    </row>
    <row r="144" spans="1:16" x14ac:dyDescent="0.25">
      <c r="A144" s="5" t="s">
        <v>33</v>
      </c>
      <c r="B144" s="5" t="s">
        <v>34</v>
      </c>
      <c r="C144" s="5">
        <v>180</v>
      </c>
      <c r="D144" s="5">
        <f>C144*2.7/100</f>
        <v>4.8600000000000003</v>
      </c>
      <c r="E144" s="5">
        <f>C144*4/100</f>
        <v>7.2</v>
      </c>
      <c r="F144" s="5">
        <f>C144*5.8/100</f>
        <v>10.44</v>
      </c>
      <c r="G144" s="5">
        <f>C144*70/100</f>
        <v>126</v>
      </c>
    </row>
    <row r="145" spans="1:7" x14ac:dyDescent="0.25">
      <c r="A145" s="5" t="s">
        <v>22</v>
      </c>
      <c r="B145" s="5" t="s">
        <v>19</v>
      </c>
      <c r="C145" s="5">
        <v>200</v>
      </c>
      <c r="D145" s="5">
        <f>C145*0.2/200</f>
        <v>0.2</v>
      </c>
      <c r="E145" s="5">
        <f>C145*0.1/200</f>
        <v>0.1</v>
      </c>
      <c r="F145" s="5">
        <f>C145*9.3/200</f>
        <v>9.3000000000000007</v>
      </c>
      <c r="G145" s="5">
        <f>C145*38/200</f>
        <v>38</v>
      </c>
    </row>
    <row r="146" spans="1:7" x14ac:dyDescent="0.25">
      <c r="A146" s="5" t="s">
        <v>53</v>
      </c>
      <c r="B146" s="5" t="s">
        <v>54</v>
      </c>
      <c r="C146" s="5">
        <v>100</v>
      </c>
      <c r="D146" s="5">
        <f>C146*7.6/100</f>
        <v>7.6</v>
      </c>
      <c r="E146" s="5">
        <f>C146*0.8/100</f>
        <v>0.8</v>
      </c>
      <c r="F146" s="5">
        <f>C146*49.2/100</f>
        <v>49.2</v>
      </c>
      <c r="G146" s="5">
        <f>C146*234/100</f>
        <v>234</v>
      </c>
    </row>
    <row r="147" spans="1:7" x14ac:dyDescent="0.25">
      <c r="A147" s="11" t="s">
        <v>15</v>
      </c>
      <c r="B147" s="11" t="s">
        <v>16</v>
      </c>
      <c r="C147" s="11">
        <v>100</v>
      </c>
      <c r="D147" s="11">
        <f>C147*8/100</f>
        <v>8</v>
      </c>
      <c r="E147" s="11">
        <f>C147*1.5/100</f>
        <v>1.5</v>
      </c>
      <c r="F147" s="11">
        <f>C147*40.1/100</f>
        <v>40.1</v>
      </c>
      <c r="G147" s="11">
        <f>C147*206/100</f>
        <v>206</v>
      </c>
    </row>
    <row r="148" spans="1:7" x14ac:dyDescent="0.25">
      <c r="A148" s="40" t="s">
        <v>67</v>
      </c>
      <c r="B148" s="41"/>
      <c r="C148" s="5">
        <f>SUM(C142:C147)</f>
        <v>930</v>
      </c>
      <c r="D148" s="5">
        <f>SUM(D142:D147)</f>
        <v>43.434999999999995</v>
      </c>
      <c r="E148" s="5">
        <f>SUM(E142:E147)</f>
        <v>31.125</v>
      </c>
      <c r="F148" s="5">
        <f>SUM(F142:F147)</f>
        <v>129.55428571428573</v>
      </c>
      <c r="G148" s="5">
        <f>SUM(G142:G147)</f>
        <v>970.28571428571422</v>
      </c>
    </row>
    <row r="151" spans="1:7" x14ac:dyDescent="0.25">
      <c r="A151" s="38" t="s">
        <v>68</v>
      </c>
      <c r="B151" s="39"/>
      <c r="C151" s="14">
        <f>(C12+C27+C45+C58+C76+C87+C105+C118+C136+C148)/10</f>
        <v>894</v>
      </c>
      <c r="D151" s="14">
        <f>(D12+D27+D45+D58+D76+D87+D105+D118+D136+D148)/10</f>
        <v>37.188650649350642</v>
      </c>
      <c r="E151" s="14">
        <f>(E12+E27+E45+E58+E76+E87+E105+E118+E136+E148)/10</f>
        <v>31.355424675324674</v>
      </c>
      <c r="F151" s="14">
        <f>(F12+F27+F45+F58+F76+F87+F105+F118+F136+F148)/10</f>
        <v>130.982474025974</v>
      </c>
      <c r="G151" s="14">
        <f>(G12+G27+G45+G58+G76+G87+G105+G118+G136+G148)/10</f>
        <v>953.27918181818166</v>
      </c>
    </row>
  </sheetData>
  <mergeCells count="43">
    <mergeCell ref="A151:B151"/>
    <mergeCell ref="A105:B105"/>
    <mergeCell ref="A109:A110"/>
    <mergeCell ref="B109:B110"/>
    <mergeCell ref="D109:G109"/>
    <mergeCell ref="A118:B118"/>
    <mergeCell ref="A128:A129"/>
    <mergeCell ref="B128:B129"/>
    <mergeCell ref="D128:G128"/>
    <mergeCell ref="A136:B136"/>
    <mergeCell ref="A140:A141"/>
    <mergeCell ref="B140:B141"/>
    <mergeCell ref="D140:G140"/>
    <mergeCell ref="A148:B148"/>
    <mergeCell ref="A97:A98"/>
    <mergeCell ref="B97:B98"/>
    <mergeCell ref="D97:G97"/>
    <mergeCell ref="A49:A50"/>
    <mergeCell ref="B49:B50"/>
    <mergeCell ref="D49:G49"/>
    <mergeCell ref="A58:B58"/>
    <mergeCell ref="A67:A68"/>
    <mergeCell ref="B67:B68"/>
    <mergeCell ref="D67:G67"/>
    <mergeCell ref="A76:B76"/>
    <mergeCell ref="A80:A81"/>
    <mergeCell ref="B80:B81"/>
    <mergeCell ref="D80:G80"/>
    <mergeCell ref="A87:B87"/>
    <mergeCell ref="A45:B45"/>
    <mergeCell ref="A1:G1"/>
    <mergeCell ref="A4:A5"/>
    <mergeCell ref="B4:B5"/>
    <mergeCell ref="D4:G4"/>
    <mergeCell ref="A12:B12"/>
    <mergeCell ref="A16:A17"/>
    <mergeCell ref="B16:B17"/>
    <mergeCell ref="D16:G16"/>
    <mergeCell ref="A26:B26"/>
    <mergeCell ref="A27:B27"/>
    <mergeCell ref="A36:A37"/>
    <mergeCell ref="B36:B37"/>
    <mergeCell ref="D36:G36"/>
  </mergeCells>
  <pageMargins left="0.7" right="0.7" top="0.75" bottom="0.75" header="0.3" footer="0.3"/>
  <pageSetup paperSize="9" orientation="landscape" horizontalDpi="180" verticalDpi="180" r:id="rId1"/>
  <headerFooter>
    <oddHeader xml:space="preserve">&amp;L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N357"/>
  <sheetViews>
    <sheetView view="pageLayout" zoomScaleNormal="100" workbookViewId="0">
      <selection activeCell="B324" sqref="B324:B325"/>
    </sheetView>
  </sheetViews>
  <sheetFormatPr defaultRowHeight="15" x14ac:dyDescent="0.25"/>
  <cols>
    <col min="1" max="1" width="13.28515625" customWidth="1"/>
    <col min="2" max="2" width="36.7109375" customWidth="1"/>
    <col min="4" max="4" width="13.5703125" customWidth="1"/>
    <col min="5" max="5" width="14.85546875" customWidth="1"/>
    <col min="6" max="6" width="20.42578125" customWidth="1"/>
    <col min="7" max="7" width="18.28515625" customWidth="1"/>
    <col min="11" max="11" width="16" customWidth="1"/>
  </cols>
  <sheetData>
    <row r="1" spans="1:7" x14ac:dyDescent="0.25">
      <c r="A1" s="55" t="s">
        <v>108</v>
      </c>
      <c r="B1" s="55"/>
      <c r="C1" s="55"/>
      <c r="D1" s="55"/>
      <c r="E1" s="55"/>
      <c r="F1" s="55"/>
      <c r="G1" s="55"/>
    </row>
    <row r="2" spans="1:7" x14ac:dyDescent="0.25">
      <c r="A2" s="2" t="s">
        <v>9</v>
      </c>
      <c r="B2" s="24"/>
      <c r="C2" s="24"/>
      <c r="D2" s="24"/>
      <c r="E2" s="24"/>
      <c r="F2" s="24"/>
      <c r="G2" s="24"/>
    </row>
    <row r="3" spans="1:7" ht="15.75" thickBot="1" x14ac:dyDescent="0.3">
      <c r="A3" s="17" t="s">
        <v>69</v>
      </c>
      <c r="B3" s="2"/>
      <c r="C3" s="2"/>
      <c r="D3" s="2"/>
      <c r="E3" s="2"/>
      <c r="F3" s="2"/>
      <c r="G3" s="2"/>
    </row>
    <row r="4" spans="1:7" ht="15.75" thickBot="1" x14ac:dyDescent="0.3">
      <c r="A4" s="42" t="s">
        <v>0</v>
      </c>
      <c r="B4" s="42" t="s">
        <v>1</v>
      </c>
      <c r="C4" s="1" t="s">
        <v>2</v>
      </c>
      <c r="D4" s="44" t="s">
        <v>4</v>
      </c>
      <c r="E4" s="45"/>
      <c r="F4" s="45"/>
      <c r="G4" s="46"/>
    </row>
    <row r="5" spans="1:7" ht="15.75" customHeight="1" x14ac:dyDescent="0.25">
      <c r="A5" s="43"/>
      <c r="B5" s="43"/>
      <c r="C5" s="4" t="s">
        <v>3</v>
      </c>
      <c r="D5" s="4" t="s">
        <v>5</v>
      </c>
      <c r="E5" s="4" t="s">
        <v>6</v>
      </c>
      <c r="F5" s="4" t="s">
        <v>7</v>
      </c>
      <c r="G5" s="4" t="s">
        <v>8</v>
      </c>
    </row>
    <row r="6" spans="1:7" x14ac:dyDescent="0.25">
      <c r="A6" s="5" t="s">
        <v>77</v>
      </c>
      <c r="B6" s="7" t="s">
        <v>78</v>
      </c>
      <c r="C6" s="5">
        <v>180</v>
      </c>
      <c r="D6" s="5">
        <f>C6*37.3/1025</f>
        <v>6.5502439024390231</v>
      </c>
      <c r="E6" s="5">
        <f>C6*37.2/1025</f>
        <v>6.5326829268292688</v>
      </c>
      <c r="F6" s="5">
        <f>C6*178.6/1025</f>
        <v>31.36390243902439</v>
      </c>
      <c r="G6" s="5">
        <f>C6*1198/1025</f>
        <v>210.38048780487804</v>
      </c>
    </row>
    <row r="7" spans="1:7" x14ac:dyDescent="0.25">
      <c r="A7" s="5" t="s">
        <v>73</v>
      </c>
      <c r="B7" s="5" t="s">
        <v>74</v>
      </c>
      <c r="C7" s="5">
        <v>40</v>
      </c>
      <c r="D7" s="5">
        <f>C7*1.6/35</f>
        <v>1.8285714285714285</v>
      </c>
      <c r="E7" s="5">
        <f>C7*11/35</f>
        <v>12.571428571428571</v>
      </c>
      <c r="F7" s="5">
        <f>C7*10/35</f>
        <v>11.428571428571429</v>
      </c>
      <c r="G7" s="5">
        <f>C7*146/35</f>
        <v>166.85714285714286</v>
      </c>
    </row>
    <row r="8" spans="1:7" x14ac:dyDescent="0.25">
      <c r="A8" s="5" t="s">
        <v>75</v>
      </c>
      <c r="B8" s="5" t="s">
        <v>76</v>
      </c>
      <c r="C8" s="5">
        <v>200</v>
      </c>
      <c r="D8" s="5">
        <f>C8*3.3/200</f>
        <v>3.3</v>
      </c>
      <c r="E8" s="5">
        <f>C8*2.9/200</f>
        <v>2.9</v>
      </c>
      <c r="F8" s="5">
        <f>C8*13.8/200</f>
        <v>13.8</v>
      </c>
      <c r="G8" s="5">
        <f>C8*94/200</f>
        <v>94</v>
      </c>
    </row>
    <row r="9" spans="1:7" x14ac:dyDescent="0.25">
      <c r="A9" s="40" t="s">
        <v>70</v>
      </c>
      <c r="B9" s="41"/>
      <c r="C9" s="5">
        <f>SUM(C6:C8)</f>
        <v>420</v>
      </c>
      <c r="D9" s="5">
        <f>SUM(D6:D8)</f>
        <v>11.678815331010451</v>
      </c>
      <c r="E9" s="5">
        <f>SUM(E6:E8)</f>
        <v>22.004111498257839</v>
      </c>
      <c r="F9" s="5">
        <f>SUM(F6:F8)</f>
        <v>56.592473867595814</v>
      </c>
      <c r="G9" s="5">
        <f>SUM(G6:G8)</f>
        <v>471.23763066202093</v>
      </c>
    </row>
    <row r="10" spans="1:7" ht="6" customHeight="1" x14ac:dyDescent="0.25">
      <c r="A10" s="25"/>
      <c r="B10" s="25"/>
      <c r="C10" s="25"/>
      <c r="D10" s="25"/>
      <c r="E10" s="25"/>
      <c r="F10" s="25"/>
      <c r="G10" s="25"/>
    </row>
    <row r="11" spans="1:7" ht="15.75" thickBot="1" x14ac:dyDescent="0.3">
      <c r="A11" s="52" t="s">
        <v>109</v>
      </c>
      <c r="B11" s="52"/>
      <c r="C11" s="25"/>
      <c r="D11" s="25"/>
      <c r="E11" s="25"/>
      <c r="F11" s="25"/>
      <c r="G11" s="25"/>
    </row>
    <row r="12" spans="1:7" ht="15.75" thickBot="1" x14ac:dyDescent="0.3">
      <c r="A12" s="42" t="s">
        <v>0</v>
      </c>
      <c r="B12" s="42" t="s">
        <v>1</v>
      </c>
      <c r="C12" s="1" t="s">
        <v>2</v>
      </c>
      <c r="D12" s="44" t="s">
        <v>4</v>
      </c>
      <c r="E12" s="45"/>
      <c r="F12" s="45"/>
      <c r="G12" s="46"/>
    </row>
    <row r="13" spans="1:7" ht="26.25" x14ac:dyDescent="0.25">
      <c r="A13" s="43"/>
      <c r="B13" s="43"/>
      <c r="C13" s="4" t="s">
        <v>3</v>
      </c>
      <c r="D13" s="4" t="s">
        <v>5</v>
      </c>
      <c r="E13" s="4" t="s">
        <v>6</v>
      </c>
      <c r="F13" s="4" t="s">
        <v>7</v>
      </c>
      <c r="G13" s="4" t="s">
        <v>8</v>
      </c>
    </row>
    <row r="14" spans="1:7" x14ac:dyDescent="0.25">
      <c r="A14" s="5" t="s">
        <v>21</v>
      </c>
      <c r="B14" s="5" t="s">
        <v>20</v>
      </c>
      <c r="C14" s="5">
        <v>100</v>
      </c>
      <c r="D14" s="5">
        <f>C14*0.4/100</f>
        <v>0.4</v>
      </c>
      <c r="E14" s="5">
        <f>C14*0.4/100</f>
        <v>0.4</v>
      </c>
      <c r="F14" s="5">
        <f>C14*9.8/100</f>
        <v>9.8000000000000007</v>
      </c>
      <c r="G14" s="5">
        <f>C14*44/100</f>
        <v>44</v>
      </c>
    </row>
    <row r="15" spans="1:7" x14ac:dyDescent="0.25">
      <c r="A15" s="40" t="s">
        <v>70</v>
      </c>
      <c r="B15" s="41"/>
      <c r="C15" s="5">
        <v>100</v>
      </c>
      <c r="D15" s="5">
        <f>C15*0.4/100</f>
        <v>0.4</v>
      </c>
      <c r="E15" s="5">
        <f>C15*0.4/100</f>
        <v>0.4</v>
      </c>
      <c r="F15" s="5">
        <f>C15*9.8/100</f>
        <v>9.8000000000000007</v>
      </c>
      <c r="G15" s="5">
        <f>C15*44/100</f>
        <v>44</v>
      </c>
    </row>
    <row r="16" spans="1:7" ht="8.25" customHeight="1" x14ac:dyDescent="0.25">
      <c r="A16" s="25"/>
      <c r="B16" s="25"/>
      <c r="C16" s="25"/>
      <c r="D16" s="25"/>
      <c r="E16" s="25"/>
      <c r="F16" s="25"/>
      <c r="G16" s="25"/>
    </row>
    <row r="17" spans="1:7" ht="15.75" thickBot="1" x14ac:dyDescent="0.3">
      <c r="A17" s="6" t="s">
        <v>10</v>
      </c>
      <c r="B17" s="24"/>
      <c r="C17" s="24"/>
      <c r="D17" s="24"/>
      <c r="E17" s="24"/>
      <c r="F17" s="24"/>
      <c r="G17" s="24"/>
    </row>
    <row r="18" spans="1:7" ht="15.75" customHeight="1" thickBot="1" x14ac:dyDescent="0.3">
      <c r="A18" s="42" t="s">
        <v>0</v>
      </c>
      <c r="B18" s="42" t="s">
        <v>1</v>
      </c>
      <c r="C18" s="1" t="s">
        <v>2</v>
      </c>
      <c r="D18" s="44" t="s">
        <v>4</v>
      </c>
      <c r="E18" s="45"/>
      <c r="F18" s="45"/>
      <c r="G18" s="46"/>
    </row>
    <row r="19" spans="1:7" ht="26.25" x14ac:dyDescent="0.25">
      <c r="A19" s="50"/>
      <c r="B19" s="50"/>
      <c r="C19" s="4" t="s">
        <v>3</v>
      </c>
      <c r="D19" s="4" t="s">
        <v>5</v>
      </c>
      <c r="E19" s="4" t="s">
        <v>6</v>
      </c>
      <c r="F19" s="4" t="s">
        <v>7</v>
      </c>
      <c r="G19" s="4" t="s">
        <v>8</v>
      </c>
    </row>
    <row r="20" spans="1:7" x14ac:dyDescent="0.25">
      <c r="A20" s="5" t="s">
        <v>23</v>
      </c>
      <c r="B20" s="5" t="s">
        <v>24</v>
      </c>
      <c r="C20" s="5">
        <v>180</v>
      </c>
      <c r="D20" s="5">
        <v>1.48</v>
      </c>
      <c r="E20" s="5">
        <v>3.54</v>
      </c>
      <c r="F20" s="5">
        <v>5.56</v>
      </c>
      <c r="G20" s="5">
        <v>60</v>
      </c>
    </row>
    <row r="21" spans="1:7" x14ac:dyDescent="0.25">
      <c r="A21" s="5" t="s">
        <v>55</v>
      </c>
      <c r="B21" s="5" t="s">
        <v>56</v>
      </c>
      <c r="C21" s="5">
        <v>80</v>
      </c>
      <c r="D21" s="5">
        <f>C21*17.3/100</f>
        <v>13.84</v>
      </c>
      <c r="E21" s="5">
        <f>C21*21/100</f>
        <v>16.8</v>
      </c>
      <c r="F21" s="5">
        <f>C21*9.9/100</f>
        <v>7.92</v>
      </c>
      <c r="G21" s="5">
        <f>C21*298/100</f>
        <v>238.4</v>
      </c>
    </row>
    <row r="22" spans="1:7" x14ac:dyDescent="0.25">
      <c r="A22" s="5" t="s">
        <v>39</v>
      </c>
      <c r="B22" s="5" t="s">
        <v>37</v>
      </c>
      <c r="C22" s="5">
        <v>150</v>
      </c>
      <c r="D22" s="5">
        <f>C22*3.7/100</f>
        <v>5.55</v>
      </c>
      <c r="E22" s="5">
        <f>C22*3.3/100</f>
        <v>4.95</v>
      </c>
      <c r="F22" s="5">
        <f>C22*19.7/100</f>
        <v>29.55</v>
      </c>
      <c r="G22" s="5">
        <f>C22*123/100</f>
        <v>184.5</v>
      </c>
    </row>
    <row r="23" spans="1:7" x14ac:dyDescent="0.25">
      <c r="A23" s="5" t="s">
        <v>22</v>
      </c>
      <c r="B23" s="5" t="s">
        <v>19</v>
      </c>
      <c r="C23" s="5">
        <v>200</v>
      </c>
      <c r="D23" s="5">
        <f>C23*0.2/200</f>
        <v>0.2</v>
      </c>
      <c r="E23" s="5">
        <f>C23*0.1/200</f>
        <v>0.1</v>
      </c>
      <c r="F23" s="5">
        <f>C23*9.3/200</f>
        <v>9.3000000000000007</v>
      </c>
      <c r="G23" s="5">
        <f>C23*38/200</f>
        <v>38</v>
      </c>
    </row>
    <row r="24" spans="1:7" x14ac:dyDescent="0.25">
      <c r="A24" s="5" t="s">
        <v>53</v>
      </c>
      <c r="B24" s="5" t="s">
        <v>54</v>
      </c>
      <c r="C24" s="5">
        <v>50</v>
      </c>
      <c r="D24" s="5">
        <f>C24*7.6/100</f>
        <v>3.8</v>
      </c>
      <c r="E24" s="5">
        <f>C24*0.8/100</f>
        <v>0.4</v>
      </c>
      <c r="F24" s="5">
        <f>C24*49.2/100</f>
        <v>24.6</v>
      </c>
      <c r="G24" s="5">
        <f>C24*234/100</f>
        <v>117</v>
      </c>
    </row>
    <row r="25" spans="1:7" x14ac:dyDescent="0.25">
      <c r="A25" s="5" t="s">
        <v>15</v>
      </c>
      <c r="B25" s="5" t="s">
        <v>16</v>
      </c>
      <c r="C25" s="5">
        <v>50</v>
      </c>
      <c r="D25" s="5">
        <f>C25*8/100</f>
        <v>4</v>
      </c>
      <c r="E25" s="5">
        <f>C25*1.5/100</f>
        <v>0.75</v>
      </c>
      <c r="F25" s="5">
        <f>C25*40.1/100</f>
        <v>20.05</v>
      </c>
      <c r="G25" s="5">
        <f>C25*206/100</f>
        <v>103</v>
      </c>
    </row>
    <row r="26" spans="1:7" x14ac:dyDescent="0.25">
      <c r="A26" s="40" t="s">
        <v>70</v>
      </c>
      <c r="B26" s="41"/>
      <c r="C26" s="5">
        <f>SUM(C20:C25)</f>
        <v>710</v>
      </c>
      <c r="D26" s="5">
        <f>SUM(D20:D25)</f>
        <v>28.87</v>
      </c>
      <c r="E26" s="5">
        <f>SUM(E20:E25)</f>
        <v>26.54</v>
      </c>
      <c r="F26" s="5">
        <f>SUM(F20:F25)</f>
        <v>96.98</v>
      </c>
      <c r="G26" s="5">
        <f>SUM(G20:G25)</f>
        <v>740.9</v>
      </c>
    </row>
    <row r="27" spans="1:7" ht="7.5" customHeight="1" x14ac:dyDescent="0.25">
      <c r="A27" s="25"/>
      <c r="B27" s="25"/>
      <c r="C27" s="25"/>
      <c r="D27" s="25"/>
      <c r="E27" s="25"/>
      <c r="F27" s="25"/>
      <c r="G27" s="25"/>
    </row>
    <row r="28" spans="1:7" ht="15.75" thickBot="1" x14ac:dyDescent="0.3">
      <c r="A28" s="52" t="s">
        <v>110</v>
      </c>
      <c r="B28" s="52"/>
      <c r="C28" s="25"/>
      <c r="D28" s="25"/>
      <c r="E28" s="25"/>
      <c r="F28" s="25"/>
      <c r="G28" s="25"/>
    </row>
    <row r="29" spans="1:7" ht="15.75" thickBot="1" x14ac:dyDescent="0.3">
      <c r="A29" s="42" t="s">
        <v>0</v>
      </c>
      <c r="B29" s="42" t="s">
        <v>1</v>
      </c>
      <c r="C29" s="1" t="s">
        <v>2</v>
      </c>
      <c r="D29" s="44" t="s">
        <v>4</v>
      </c>
      <c r="E29" s="45"/>
      <c r="F29" s="45"/>
      <c r="G29" s="46"/>
    </row>
    <row r="30" spans="1:7" ht="15.75" customHeight="1" x14ac:dyDescent="0.25">
      <c r="A30" s="43"/>
      <c r="B30" s="43"/>
      <c r="C30" s="4" t="s">
        <v>3</v>
      </c>
      <c r="D30" s="4" t="s">
        <v>5</v>
      </c>
      <c r="E30" s="4" t="s">
        <v>6</v>
      </c>
      <c r="F30" s="4" t="s">
        <v>7</v>
      </c>
      <c r="G30" s="4" t="s">
        <v>8</v>
      </c>
    </row>
    <row r="31" spans="1:7" ht="15.75" customHeight="1" x14ac:dyDescent="0.25">
      <c r="A31" s="5" t="s">
        <v>111</v>
      </c>
      <c r="B31" s="5" t="s">
        <v>112</v>
      </c>
      <c r="C31" s="5">
        <v>120</v>
      </c>
      <c r="D31" s="5">
        <f>C31*12/160</f>
        <v>9</v>
      </c>
      <c r="E31" s="5">
        <f>C31*15/160</f>
        <v>11.25</v>
      </c>
      <c r="F31" s="5">
        <f>C31*60.6/160</f>
        <v>45.45</v>
      </c>
      <c r="G31" s="5">
        <f>C31*429/160</f>
        <v>321.75</v>
      </c>
    </row>
    <row r="32" spans="1:7" ht="15.75" customHeight="1" x14ac:dyDescent="0.25">
      <c r="A32" s="5" t="s">
        <v>22</v>
      </c>
      <c r="B32" s="5" t="s">
        <v>19</v>
      </c>
      <c r="C32" s="5">
        <v>200</v>
      </c>
      <c r="D32" s="5">
        <f>C32*0.2/200</f>
        <v>0.2</v>
      </c>
      <c r="E32" s="5">
        <f>C32*0.1/200</f>
        <v>0.1</v>
      </c>
      <c r="F32" s="5">
        <f>C32*9.3/200</f>
        <v>9.3000000000000007</v>
      </c>
      <c r="G32" s="5">
        <f>C32*38/200</f>
        <v>38</v>
      </c>
    </row>
    <row r="33" spans="1:7" x14ac:dyDescent="0.25">
      <c r="A33" s="40" t="s">
        <v>70</v>
      </c>
      <c r="B33" s="41"/>
      <c r="C33" s="5">
        <f>SUM(C31:C32)</f>
        <v>320</v>
      </c>
      <c r="D33" s="5">
        <f>SUM(D31:D32)</f>
        <v>9.1999999999999993</v>
      </c>
      <c r="E33" s="5">
        <f>SUM(E31:E32)</f>
        <v>11.35</v>
      </c>
      <c r="F33" s="5">
        <f>SUM(F31:F32)</f>
        <v>54.75</v>
      </c>
      <c r="G33" s="5">
        <f>SUM(G31:G32)</f>
        <v>359.75</v>
      </c>
    </row>
    <row r="34" spans="1:7" ht="33" customHeight="1" x14ac:dyDescent="0.25">
      <c r="A34" s="25"/>
      <c r="B34" s="25"/>
      <c r="C34" s="25"/>
      <c r="D34" s="25"/>
      <c r="E34" s="25"/>
      <c r="F34" s="25"/>
      <c r="G34" s="25"/>
    </row>
    <row r="35" spans="1:7" ht="21" customHeight="1" x14ac:dyDescent="0.25">
      <c r="A35" s="51" t="s">
        <v>67</v>
      </c>
      <c r="B35" s="51"/>
      <c r="C35" s="5">
        <f>C9+C15+C26+C33</f>
        <v>1550</v>
      </c>
      <c r="D35" s="5">
        <f>D9+D15+D26+D33</f>
        <v>50.148815331010454</v>
      </c>
      <c r="E35" s="5">
        <f>E9+E15+E26+E33</f>
        <v>60.294111498257841</v>
      </c>
      <c r="F35" s="5">
        <f>F9+F15+F26+F33</f>
        <v>218.12247386759583</v>
      </c>
      <c r="G35" s="5">
        <f>G9+G15+G26+G33</f>
        <v>1615.8876306620209</v>
      </c>
    </row>
    <row r="36" spans="1:7" x14ac:dyDescent="0.25">
      <c r="A36" s="2" t="s">
        <v>18</v>
      </c>
      <c r="B36" s="24"/>
      <c r="C36" s="24"/>
      <c r="D36" s="24"/>
      <c r="E36" s="24"/>
      <c r="F36" s="24"/>
      <c r="G36" s="24"/>
    </row>
    <row r="37" spans="1:7" ht="15.75" thickBot="1" x14ac:dyDescent="0.3">
      <c r="A37" s="17" t="s">
        <v>69</v>
      </c>
      <c r="B37" s="2"/>
      <c r="C37" s="2"/>
      <c r="D37" s="2"/>
      <c r="E37" s="2"/>
      <c r="F37" s="2"/>
      <c r="G37" s="2"/>
    </row>
    <row r="38" spans="1:7" ht="15.75" thickBot="1" x14ac:dyDescent="0.3">
      <c r="A38" s="42" t="s">
        <v>0</v>
      </c>
      <c r="B38" s="42" t="s">
        <v>1</v>
      </c>
      <c r="C38" s="1" t="s">
        <v>2</v>
      </c>
      <c r="D38" s="44" t="s">
        <v>4</v>
      </c>
      <c r="E38" s="45"/>
      <c r="F38" s="45"/>
      <c r="G38" s="46"/>
    </row>
    <row r="39" spans="1:7" ht="15" hidden="1" customHeight="1" x14ac:dyDescent="0.25">
      <c r="A39" s="43"/>
      <c r="B39" s="43"/>
      <c r="C39" s="4" t="s">
        <v>3</v>
      </c>
      <c r="D39" s="4" t="s">
        <v>5</v>
      </c>
      <c r="E39" s="4" t="s">
        <v>6</v>
      </c>
      <c r="F39" s="4" t="s">
        <v>7</v>
      </c>
      <c r="G39" s="4" t="s">
        <v>8</v>
      </c>
    </row>
    <row r="40" spans="1:7" ht="15" hidden="1" customHeight="1" x14ac:dyDescent="0.25">
      <c r="A40" s="5" t="s">
        <v>71</v>
      </c>
      <c r="B40" s="7" t="s">
        <v>72</v>
      </c>
      <c r="C40" s="5">
        <v>220</v>
      </c>
      <c r="D40" s="5">
        <f>C40*37.3/1025</f>
        <v>8.0058536585365854</v>
      </c>
      <c r="E40" s="5">
        <f>C40*33.2/1025</f>
        <v>7.1258536585365864</v>
      </c>
      <c r="F40" s="5">
        <f>C40*181.3/1025</f>
        <v>38.913170731707318</v>
      </c>
      <c r="G40" s="5">
        <f>C40*1173/1025</f>
        <v>251.7658536585366</v>
      </c>
    </row>
    <row r="41" spans="1:7" ht="15" customHeight="1" x14ac:dyDescent="0.25">
      <c r="A41" s="5" t="s">
        <v>79</v>
      </c>
      <c r="B41" s="7" t="s">
        <v>80</v>
      </c>
      <c r="C41" s="5">
        <v>180</v>
      </c>
      <c r="D41" s="5">
        <f>C41*28.8/1000</f>
        <v>5.1840000000000002</v>
      </c>
      <c r="E41" s="5">
        <f>C41*32.4/1000</f>
        <v>5.8319999999999999</v>
      </c>
      <c r="F41" s="5">
        <f>C41*98.5/1000</f>
        <v>17.73</v>
      </c>
      <c r="G41" s="5">
        <f>C41*801/1000</f>
        <v>144.18</v>
      </c>
    </row>
    <row r="42" spans="1:7" x14ac:dyDescent="0.25">
      <c r="A42" s="5" t="s">
        <v>81</v>
      </c>
      <c r="B42" s="5" t="s">
        <v>82</v>
      </c>
      <c r="C42" s="5">
        <v>60</v>
      </c>
      <c r="D42" s="5">
        <f>C42*1.6/45</f>
        <v>2.1333333333333333</v>
      </c>
      <c r="E42" s="5">
        <f>C42*3.8/45</f>
        <v>5.0666666666666664</v>
      </c>
      <c r="F42" s="5">
        <f>C42*23.4/45</f>
        <v>31.2</v>
      </c>
      <c r="G42" s="5">
        <f>C42*134/45</f>
        <v>178.66666666666666</v>
      </c>
    </row>
    <row r="43" spans="1:7" x14ac:dyDescent="0.25">
      <c r="A43" s="5" t="s">
        <v>84</v>
      </c>
      <c r="B43" s="5" t="s">
        <v>83</v>
      </c>
      <c r="C43" s="5">
        <v>200</v>
      </c>
      <c r="D43" s="5">
        <f>C43*1.6/200</f>
        <v>1.6</v>
      </c>
      <c r="E43" s="5">
        <f>C43*1.3/200</f>
        <v>1.3</v>
      </c>
      <c r="F43" s="5">
        <f>C43*11.5/200</f>
        <v>11.5</v>
      </c>
      <c r="G43" s="5">
        <f>C43*64/200</f>
        <v>64</v>
      </c>
    </row>
    <row r="44" spans="1:7" x14ac:dyDescent="0.25">
      <c r="A44" s="40" t="s">
        <v>70</v>
      </c>
      <c r="B44" s="41"/>
      <c r="C44" s="5">
        <f>SUM(C41:C43)</f>
        <v>440</v>
      </c>
      <c r="D44" s="5">
        <f>SUM(D41:D43)</f>
        <v>8.9173333333333336</v>
      </c>
      <c r="E44" s="5">
        <f>SUM(E41:E43)</f>
        <v>12.198666666666668</v>
      </c>
      <c r="F44" s="5">
        <f>SUM(F41:F43)</f>
        <v>60.43</v>
      </c>
      <c r="G44" s="5">
        <f>SUM(G41:G43)</f>
        <v>386.84666666666669</v>
      </c>
    </row>
    <row r="45" spans="1:7" ht="7.5" customHeight="1" x14ac:dyDescent="0.25">
      <c r="A45" s="25"/>
      <c r="B45" s="25"/>
      <c r="C45" s="25"/>
      <c r="D45" s="25"/>
      <c r="E45" s="25"/>
      <c r="F45" s="25"/>
      <c r="G45" s="25"/>
    </row>
    <row r="46" spans="1:7" ht="15.75" thickBot="1" x14ac:dyDescent="0.3">
      <c r="A46" s="52" t="s">
        <v>109</v>
      </c>
      <c r="B46" s="52"/>
      <c r="C46" s="25"/>
      <c r="D46" s="25"/>
      <c r="E46" s="25"/>
      <c r="F46" s="25"/>
      <c r="G46" s="25"/>
    </row>
    <row r="47" spans="1:7" ht="15.75" thickBot="1" x14ac:dyDescent="0.3">
      <c r="A47" s="42" t="s">
        <v>0</v>
      </c>
      <c r="B47" s="42" t="s">
        <v>1</v>
      </c>
      <c r="C47" s="1" t="s">
        <v>2</v>
      </c>
      <c r="D47" s="44" t="s">
        <v>4</v>
      </c>
      <c r="E47" s="45"/>
      <c r="F47" s="45"/>
      <c r="G47" s="46"/>
    </row>
    <row r="48" spans="1:7" ht="26.25" x14ac:dyDescent="0.25">
      <c r="A48" s="43"/>
      <c r="B48" s="43"/>
      <c r="C48" s="4" t="s">
        <v>3</v>
      </c>
      <c r="D48" s="4" t="s">
        <v>5</v>
      </c>
      <c r="E48" s="4" t="s">
        <v>6</v>
      </c>
      <c r="F48" s="4" t="s">
        <v>7</v>
      </c>
      <c r="G48" s="4" t="s">
        <v>8</v>
      </c>
    </row>
    <row r="49" spans="1:7" x14ac:dyDescent="0.25">
      <c r="A49" s="5" t="s">
        <v>21</v>
      </c>
      <c r="B49" s="5" t="s">
        <v>20</v>
      </c>
      <c r="C49" s="5">
        <v>100</v>
      </c>
      <c r="D49" s="5">
        <f>C49*0.4/100</f>
        <v>0.4</v>
      </c>
      <c r="E49" s="5">
        <f>C49*0.4/100</f>
        <v>0.4</v>
      </c>
      <c r="F49" s="5">
        <f>C49*9.8/100</f>
        <v>9.8000000000000007</v>
      </c>
      <c r="G49" s="5">
        <f>C49*44/100</f>
        <v>44</v>
      </c>
    </row>
    <row r="50" spans="1:7" x14ac:dyDescent="0.25">
      <c r="A50" s="40" t="s">
        <v>70</v>
      </c>
      <c r="B50" s="41"/>
      <c r="C50" s="5">
        <v>100</v>
      </c>
      <c r="D50" s="5">
        <f>C50*0.4/100</f>
        <v>0.4</v>
      </c>
      <c r="E50" s="5">
        <f>C50*0.4/100</f>
        <v>0.4</v>
      </c>
      <c r="F50" s="5">
        <f>C50*9.8/100</f>
        <v>9.8000000000000007</v>
      </c>
      <c r="G50" s="5">
        <f>C50*44/100</f>
        <v>44</v>
      </c>
    </row>
    <row r="51" spans="1:7" ht="6.75" customHeight="1" x14ac:dyDescent="0.25">
      <c r="A51" s="25"/>
      <c r="B51" s="25"/>
      <c r="C51" s="25"/>
      <c r="D51" s="25"/>
      <c r="E51" s="25"/>
      <c r="F51" s="25"/>
      <c r="G51" s="25"/>
    </row>
    <row r="52" spans="1:7" ht="15.75" thickBot="1" x14ac:dyDescent="0.3">
      <c r="A52" s="6" t="s">
        <v>10</v>
      </c>
      <c r="B52" s="24"/>
      <c r="C52" s="24"/>
      <c r="D52" s="24"/>
      <c r="E52" s="24"/>
      <c r="F52" s="24"/>
      <c r="G52" s="24"/>
    </row>
    <row r="53" spans="1:7" ht="15.75" thickBot="1" x14ac:dyDescent="0.3">
      <c r="A53" s="42" t="s">
        <v>0</v>
      </c>
      <c r="B53" s="42" t="s">
        <v>1</v>
      </c>
      <c r="C53" s="1" t="s">
        <v>2</v>
      </c>
      <c r="D53" s="44" t="s">
        <v>4</v>
      </c>
      <c r="E53" s="45"/>
      <c r="F53" s="45"/>
      <c r="G53" s="46"/>
    </row>
    <row r="54" spans="1:7" ht="26.25" x14ac:dyDescent="0.25">
      <c r="A54" s="43"/>
      <c r="B54" s="43"/>
      <c r="C54" s="4" t="s">
        <v>3</v>
      </c>
      <c r="D54" s="4" t="s">
        <v>5</v>
      </c>
      <c r="E54" s="4" t="s">
        <v>6</v>
      </c>
      <c r="F54" s="4" t="s">
        <v>7</v>
      </c>
      <c r="G54" s="4" t="s">
        <v>8</v>
      </c>
    </row>
    <row r="55" spans="1:7" x14ac:dyDescent="0.25">
      <c r="A55" s="5" t="s">
        <v>31</v>
      </c>
      <c r="B55" s="5" t="s">
        <v>32</v>
      </c>
      <c r="C55" s="5">
        <v>70</v>
      </c>
      <c r="D55" s="5">
        <f>C55*1.45/100</f>
        <v>1.0149999999999999</v>
      </c>
      <c r="E55" s="5">
        <f>C55*6/100</f>
        <v>4.2</v>
      </c>
      <c r="F55" s="5">
        <f>C55*8.4/100</f>
        <v>5.88</v>
      </c>
      <c r="G55" s="5">
        <f>C55*94/100</f>
        <v>65.8</v>
      </c>
    </row>
    <row r="56" spans="1:7" x14ac:dyDescent="0.25">
      <c r="A56" s="5" t="s">
        <v>130</v>
      </c>
      <c r="B56" s="5" t="s">
        <v>131</v>
      </c>
      <c r="C56" s="5">
        <v>180</v>
      </c>
      <c r="D56" s="5">
        <v>6.4</v>
      </c>
      <c r="E56" s="5">
        <v>8.34</v>
      </c>
      <c r="F56" s="5">
        <v>1.32</v>
      </c>
      <c r="G56" s="5">
        <v>106</v>
      </c>
    </row>
    <row r="57" spans="1:7" x14ac:dyDescent="0.25">
      <c r="A57" s="5" t="s">
        <v>50</v>
      </c>
      <c r="B57" s="5" t="s">
        <v>49</v>
      </c>
      <c r="C57" s="5">
        <v>70</v>
      </c>
      <c r="D57" s="5">
        <f>C57*9/70</f>
        <v>9</v>
      </c>
      <c r="E57" s="5">
        <f>C57*1.1/70</f>
        <v>1.1000000000000001</v>
      </c>
      <c r="F57" s="5">
        <f>C57*7/70</f>
        <v>7</v>
      </c>
      <c r="G57" s="5">
        <f>C57*74/70</f>
        <v>74</v>
      </c>
    </row>
    <row r="58" spans="1:7" x14ac:dyDescent="0.25">
      <c r="A58" s="5" t="s">
        <v>57</v>
      </c>
      <c r="B58" s="5" t="s">
        <v>58</v>
      </c>
      <c r="C58" s="5">
        <v>150</v>
      </c>
      <c r="D58" s="5">
        <f>C58*25.1/1000</f>
        <v>3.7650000000000001</v>
      </c>
      <c r="E58" s="5">
        <f>C58*36.2/1000</f>
        <v>5.43</v>
      </c>
      <c r="F58" s="5">
        <f>C58*259/1000</f>
        <v>38.85</v>
      </c>
      <c r="G58" s="5">
        <f>C58*1462/1000</f>
        <v>219.3</v>
      </c>
    </row>
    <row r="59" spans="1:7" x14ac:dyDescent="0.25">
      <c r="A59" s="5" t="s">
        <v>13</v>
      </c>
      <c r="B59" s="5" t="s">
        <v>14</v>
      </c>
      <c r="C59" s="5">
        <v>200</v>
      </c>
      <c r="D59" s="5">
        <f>C59*0.6/200</f>
        <v>0.6</v>
      </c>
      <c r="E59" s="5">
        <f>C59*0.1/200</f>
        <v>0.1</v>
      </c>
      <c r="F59" s="5">
        <f>C59*20.1/200</f>
        <v>20.100000000000001</v>
      </c>
      <c r="G59" s="5">
        <f>C59*84/200</f>
        <v>84</v>
      </c>
    </row>
    <row r="60" spans="1:7" x14ac:dyDescent="0.25">
      <c r="A60" s="5" t="s">
        <v>53</v>
      </c>
      <c r="B60" s="5" t="s">
        <v>54</v>
      </c>
      <c r="C60" s="5">
        <v>50</v>
      </c>
      <c r="D60" s="5">
        <f>C60*7.6/100</f>
        <v>3.8</v>
      </c>
      <c r="E60" s="5">
        <f>C60*0.8/100</f>
        <v>0.4</v>
      </c>
      <c r="F60" s="5">
        <f>C60*49.2/100</f>
        <v>24.6</v>
      </c>
      <c r="G60" s="5">
        <f>C60*234/100</f>
        <v>117</v>
      </c>
    </row>
    <row r="61" spans="1:7" x14ac:dyDescent="0.25">
      <c r="A61" s="5" t="s">
        <v>15</v>
      </c>
      <c r="B61" s="5" t="s">
        <v>16</v>
      </c>
      <c r="C61" s="5">
        <v>50</v>
      </c>
      <c r="D61" s="5">
        <f>C61*8/100</f>
        <v>4</v>
      </c>
      <c r="E61" s="5">
        <f>C61*1.5/100</f>
        <v>0.75</v>
      </c>
      <c r="F61" s="5">
        <f>C61*40.1/100</f>
        <v>20.05</v>
      </c>
      <c r="G61" s="5">
        <f>C61*206/100</f>
        <v>103</v>
      </c>
    </row>
    <row r="62" spans="1:7" x14ac:dyDescent="0.25">
      <c r="A62" s="40" t="s">
        <v>17</v>
      </c>
      <c r="B62" s="41"/>
      <c r="C62" s="5">
        <f>SUM(C55:C61)</f>
        <v>770</v>
      </c>
      <c r="D62" s="5">
        <f>SUM(D55:D61)</f>
        <v>28.580000000000002</v>
      </c>
      <c r="E62" s="5">
        <f>SUM(E55:E61)</f>
        <v>20.32</v>
      </c>
      <c r="F62" s="5">
        <f>SUM(F55:F61)</f>
        <v>117.8</v>
      </c>
      <c r="G62" s="5">
        <f>SUM(G55:G61)</f>
        <v>769.1</v>
      </c>
    </row>
    <row r="63" spans="1:7" ht="15.75" thickBot="1" x14ac:dyDescent="0.3">
      <c r="A63" s="52" t="s">
        <v>110</v>
      </c>
      <c r="B63" s="52"/>
      <c r="C63" s="26"/>
      <c r="D63" s="49"/>
      <c r="E63" s="49"/>
      <c r="F63" s="49"/>
      <c r="G63" s="49"/>
    </row>
    <row r="64" spans="1:7" ht="15.75" thickBot="1" x14ac:dyDescent="0.3">
      <c r="A64" s="42" t="s">
        <v>0</v>
      </c>
      <c r="B64" s="42" t="s">
        <v>1</v>
      </c>
      <c r="C64" s="1" t="s">
        <v>2</v>
      </c>
      <c r="D64" s="44" t="s">
        <v>4</v>
      </c>
      <c r="E64" s="45"/>
      <c r="F64" s="45"/>
      <c r="G64" s="46"/>
    </row>
    <row r="65" spans="1:7" ht="26.25" x14ac:dyDescent="0.25">
      <c r="A65" s="43"/>
      <c r="B65" s="43"/>
      <c r="C65" s="4" t="s">
        <v>3</v>
      </c>
      <c r="D65" s="4" t="s">
        <v>5</v>
      </c>
      <c r="E65" s="4" t="s">
        <v>6</v>
      </c>
      <c r="F65" s="4" t="s">
        <v>7</v>
      </c>
      <c r="G65" s="4" t="s">
        <v>8</v>
      </c>
    </row>
    <row r="66" spans="1:7" x14ac:dyDescent="0.25">
      <c r="A66" s="5" t="s">
        <v>113</v>
      </c>
      <c r="B66" s="5" t="s">
        <v>114</v>
      </c>
      <c r="C66" s="5">
        <v>100</v>
      </c>
      <c r="D66" s="5">
        <f>C66*7.5/100</f>
        <v>7.5</v>
      </c>
      <c r="E66" s="5">
        <f>C66*9.8/100</f>
        <v>9.8000000000000007</v>
      </c>
      <c r="F66" s="5">
        <f>C66*74.4/100</f>
        <v>74.400000000000006</v>
      </c>
      <c r="G66" s="5">
        <f>C66*415/100</f>
        <v>415</v>
      </c>
    </row>
    <row r="67" spans="1:7" x14ac:dyDescent="0.25">
      <c r="A67" s="5" t="s">
        <v>13</v>
      </c>
      <c r="B67" s="5" t="s">
        <v>14</v>
      </c>
      <c r="C67" s="5">
        <v>200</v>
      </c>
      <c r="D67" s="5">
        <f>C67*0.6/200</f>
        <v>0.6</v>
      </c>
      <c r="E67" s="5">
        <f>C67*0.1/200</f>
        <v>0.1</v>
      </c>
      <c r="F67" s="5">
        <f>C67*20.1/200</f>
        <v>20.100000000000001</v>
      </c>
      <c r="G67" s="5">
        <f>C67*84/200</f>
        <v>84</v>
      </c>
    </row>
    <row r="68" spans="1:7" x14ac:dyDescent="0.25">
      <c r="A68" s="40" t="s">
        <v>70</v>
      </c>
      <c r="B68" s="41"/>
      <c r="C68" s="5">
        <f>SUM(C66:C67)</f>
        <v>300</v>
      </c>
      <c r="D68" s="5">
        <f>SUM(D66:D67)</f>
        <v>8.1</v>
      </c>
      <c r="E68" s="5">
        <f>SUM(E66:E67)</f>
        <v>9.9</v>
      </c>
      <c r="F68" s="5">
        <f>SUM(F66:F67)</f>
        <v>94.5</v>
      </c>
      <c r="G68" s="5">
        <f>SUM(G66:G67)</f>
        <v>499</v>
      </c>
    </row>
    <row r="69" spans="1:7" ht="13.5" customHeight="1" x14ac:dyDescent="0.25">
      <c r="A69" s="19"/>
      <c r="B69" s="25"/>
      <c r="C69" s="25"/>
      <c r="D69" s="25"/>
      <c r="E69" s="25"/>
      <c r="F69" s="25"/>
      <c r="G69" s="25"/>
    </row>
    <row r="70" spans="1:7" x14ac:dyDescent="0.25">
      <c r="A70" s="51" t="s">
        <v>67</v>
      </c>
      <c r="B70" s="51"/>
      <c r="C70" s="5">
        <f>C44+C50+C62+C68</f>
        <v>1610</v>
      </c>
      <c r="D70" s="5">
        <f>D44+D50+D62+D68</f>
        <v>45.997333333333337</v>
      </c>
      <c r="E70" s="5">
        <f>E44+E50+E62+E68</f>
        <v>42.818666666666665</v>
      </c>
      <c r="F70" s="5">
        <f>F44+F50+F62+F68</f>
        <v>282.52999999999997</v>
      </c>
      <c r="G70" s="5">
        <f>G44+G50+G62+G68</f>
        <v>1698.9466666666667</v>
      </c>
    </row>
    <row r="71" spans="1:7" x14ac:dyDescent="0.25">
      <c r="A71" s="36"/>
      <c r="B71" s="36"/>
      <c r="C71" s="36"/>
      <c r="D71" s="36"/>
      <c r="E71" s="36"/>
      <c r="F71" s="36"/>
      <c r="G71" s="36"/>
    </row>
    <row r="72" spans="1:7" x14ac:dyDescent="0.25">
      <c r="A72" s="36"/>
      <c r="B72" s="36"/>
      <c r="C72" s="36"/>
      <c r="D72" s="36"/>
      <c r="E72" s="36"/>
      <c r="F72" s="36"/>
      <c r="G72" s="36"/>
    </row>
    <row r="73" spans="1:7" x14ac:dyDescent="0.25">
      <c r="A73" s="36"/>
      <c r="B73" s="36"/>
      <c r="C73" s="36"/>
      <c r="D73" s="36"/>
      <c r="E73" s="36"/>
      <c r="F73" s="36"/>
      <c r="G73" s="36"/>
    </row>
    <row r="74" spans="1:7" x14ac:dyDescent="0.25">
      <c r="A74" s="2" t="s">
        <v>25</v>
      </c>
      <c r="B74" s="24"/>
      <c r="C74" s="24"/>
      <c r="D74" s="24"/>
      <c r="E74" s="24"/>
      <c r="F74" s="24"/>
      <c r="G74" s="24"/>
    </row>
    <row r="75" spans="1:7" ht="15.75" thickBot="1" x14ac:dyDescent="0.3">
      <c r="A75" s="17" t="s">
        <v>69</v>
      </c>
      <c r="B75" s="2"/>
      <c r="C75" s="2"/>
      <c r="D75" s="2"/>
      <c r="E75" s="2"/>
      <c r="F75" s="2"/>
      <c r="G75" s="2"/>
    </row>
    <row r="76" spans="1:7" ht="15.75" thickBot="1" x14ac:dyDescent="0.3">
      <c r="A76" s="42" t="s">
        <v>0</v>
      </c>
      <c r="B76" s="42" t="s">
        <v>1</v>
      </c>
      <c r="C76" s="1" t="s">
        <v>2</v>
      </c>
      <c r="D76" s="44" t="s">
        <v>4</v>
      </c>
      <c r="E76" s="45"/>
      <c r="F76" s="45"/>
      <c r="G76" s="46"/>
    </row>
    <row r="77" spans="1:7" ht="26.25" x14ac:dyDescent="0.25">
      <c r="A77" s="43"/>
      <c r="B77" s="43"/>
      <c r="C77" s="4" t="s">
        <v>3</v>
      </c>
      <c r="D77" s="4" t="s">
        <v>5</v>
      </c>
      <c r="E77" s="4" t="s">
        <v>6</v>
      </c>
      <c r="F77" s="4" t="s">
        <v>7</v>
      </c>
      <c r="G77" s="4" t="s">
        <v>8</v>
      </c>
    </row>
    <row r="78" spans="1:7" x14ac:dyDescent="0.25">
      <c r="A78" s="5" t="s">
        <v>85</v>
      </c>
      <c r="B78" s="7" t="s">
        <v>86</v>
      </c>
      <c r="C78" s="5">
        <v>180</v>
      </c>
      <c r="D78" s="5">
        <f>C78*26/1025</f>
        <v>4.565853658536585</v>
      </c>
      <c r="E78" s="5">
        <f>C78*33/1025</f>
        <v>5.795121951219512</v>
      </c>
      <c r="F78" s="5">
        <f>C78*138/1025</f>
        <v>24.234146341463415</v>
      </c>
      <c r="G78" s="5">
        <f>C78*953/1025</f>
        <v>167.3560975609756</v>
      </c>
    </row>
    <row r="79" spans="1:7" x14ac:dyDescent="0.25">
      <c r="A79" s="5" t="s">
        <v>87</v>
      </c>
      <c r="B79" s="5" t="s">
        <v>88</v>
      </c>
      <c r="C79" s="5">
        <v>60</v>
      </c>
      <c r="D79" s="5">
        <f>C79*6.9/45</f>
        <v>9.1999999999999993</v>
      </c>
      <c r="E79" s="5">
        <f>C79*9/45</f>
        <v>12</v>
      </c>
      <c r="F79" s="5">
        <f>C79*10/45</f>
        <v>13.333333333333334</v>
      </c>
      <c r="G79" s="5">
        <f>C79*149/45</f>
        <v>198.66666666666666</v>
      </c>
    </row>
    <row r="80" spans="1:7" x14ac:dyDescent="0.25">
      <c r="A80" s="5" t="s">
        <v>75</v>
      </c>
      <c r="B80" s="5" t="s">
        <v>76</v>
      </c>
      <c r="C80" s="5">
        <v>200</v>
      </c>
      <c r="D80" s="5">
        <f>C80*3.3/200</f>
        <v>3.3</v>
      </c>
      <c r="E80" s="5">
        <f>C80*2.9/200</f>
        <v>2.9</v>
      </c>
      <c r="F80" s="5">
        <f>C80*13.8/200</f>
        <v>13.8</v>
      </c>
      <c r="G80" s="5">
        <f>C80*94/200</f>
        <v>94</v>
      </c>
    </row>
    <row r="81" spans="1:7" x14ac:dyDescent="0.25">
      <c r="A81" s="40" t="s">
        <v>70</v>
      </c>
      <c r="B81" s="41"/>
      <c r="C81" s="5">
        <f>SUM(C78:C80)</f>
        <v>440</v>
      </c>
      <c r="D81" s="5">
        <f>SUM(D78:D80)</f>
        <v>17.065853658536586</v>
      </c>
      <c r="E81" s="5">
        <f>SUM(E78:E80)</f>
        <v>20.695121951219512</v>
      </c>
      <c r="F81" s="5">
        <f>SUM(F78:F80)</f>
        <v>51.367479674796755</v>
      </c>
      <c r="G81" s="5">
        <f>SUM(G78:G80)</f>
        <v>460.02276422764226</v>
      </c>
    </row>
    <row r="82" spans="1:7" ht="6.75" customHeight="1" x14ac:dyDescent="0.25">
      <c r="A82" s="27"/>
      <c r="B82" s="27"/>
      <c r="C82" s="26"/>
      <c r="D82" s="26"/>
      <c r="E82" s="26"/>
      <c r="F82" s="26"/>
      <c r="G82" s="26"/>
    </row>
    <row r="83" spans="1:7" ht="15.75" thickBot="1" x14ac:dyDescent="0.3">
      <c r="A83" s="52" t="s">
        <v>109</v>
      </c>
      <c r="B83" s="52"/>
      <c r="C83" s="25"/>
      <c r="D83" s="25"/>
      <c r="E83" s="25"/>
      <c r="F83" s="25"/>
      <c r="G83" s="25"/>
    </row>
    <row r="84" spans="1:7" ht="15.75" thickBot="1" x14ac:dyDescent="0.3">
      <c r="A84" s="42" t="s">
        <v>0</v>
      </c>
      <c r="B84" s="42" t="s">
        <v>1</v>
      </c>
      <c r="C84" s="1" t="s">
        <v>2</v>
      </c>
      <c r="D84" s="44" t="s">
        <v>4</v>
      </c>
      <c r="E84" s="45"/>
      <c r="F84" s="45"/>
      <c r="G84" s="46"/>
    </row>
    <row r="85" spans="1:7" ht="26.25" x14ac:dyDescent="0.25">
      <c r="A85" s="43"/>
      <c r="B85" s="43"/>
      <c r="C85" s="4" t="s">
        <v>3</v>
      </c>
      <c r="D85" s="4" t="s">
        <v>5</v>
      </c>
      <c r="E85" s="4" t="s">
        <v>6</v>
      </c>
      <c r="F85" s="4" t="s">
        <v>7</v>
      </c>
      <c r="G85" s="4" t="s">
        <v>8</v>
      </c>
    </row>
    <row r="86" spans="1:7" x14ac:dyDescent="0.25">
      <c r="A86" s="5" t="s">
        <v>115</v>
      </c>
      <c r="B86" s="5" t="s">
        <v>116</v>
      </c>
      <c r="C86" s="5">
        <v>200</v>
      </c>
      <c r="D86" s="5">
        <f>C86*0.5/100</f>
        <v>1</v>
      </c>
      <c r="E86" s="5">
        <f>C86*0.1/100</f>
        <v>0.2</v>
      </c>
      <c r="F86" s="5">
        <f>C86*10.1/100</f>
        <v>20.2</v>
      </c>
      <c r="G86" s="5">
        <f>C86*43/100</f>
        <v>86</v>
      </c>
    </row>
    <row r="87" spans="1:7" x14ac:dyDescent="0.25">
      <c r="A87" s="40" t="s">
        <v>70</v>
      </c>
      <c r="B87" s="41"/>
      <c r="C87" s="5">
        <v>200</v>
      </c>
      <c r="D87" s="5">
        <f>C87*0.5/100</f>
        <v>1</v>
      </c>
      <c r="E87" s="5">
        <f>C87*0.1/100</f>
        <v>0.2</v>
      </c>
      <c r="F87" s="5">
        <f>C87*10.1/100</f>
        <v>20.2</v>
      </c>
      <c r="G87" s="5">
        <f>C87*43/100</f>
        <v>86</v>
      </c>
    </row>
    <row r="88" spans="1:7" ht="4.5" customHeight="1" x14ac:dyDescent="0.25">
      <c r="A88" s="25"/>
      <c r="B88" s="25"/>
      <c r="C88" s="25"/>
      <c r="D88" s="25"/>
      <c r="E88" s="25"/>
      <c r="F88" s="25"/>
      <c r="G88" s="25"/>
    </row>
    <row r="89" spans="1:7" ht="15.75" thickBot="1" x14ac:dyDescent="0.3">
      <c r="A89" s="29" t="s">
        <v>10</v>
      </c>
      <c r="B89" s="25"/>
      <c r="C89" s="25"/>
      <c r="D89" s="25"/>
      <c r="E89" s="25"/>
      <c r="F89" s="25"/>
      <c r="G89" s="25"/>
    </row>
    <row r="90" spans="1:7" ht="15.75" thickBot="1" x14ac:dyDescent="0.3">
      <c r="A90" s="42" t="s">
        <v>0</v>
      </c>
      <c r="B90" s="42" t="s">
        <v>1</v>
      </c>
      <c r="C90" s="1" t="s">
        <v>2</v>
      </c>
      <c r="D90" s="44" t="s">
        <v>4</v>
      </c>
      <c r="E90" s="45"/>
      <c r="F90" s="45"/>
      <c r="G90" s="46"/>
    </row>
    <row r="91" spans="1:7" ht="26.25" x14ac:dyDescent="0.25">
      <c r="A91" s="43"/>
      <c r="B91" s="43"/>
      <c r="C91" s="4" t="s">
        <v>3</v>
      </c>
      <c r="D91" s="4" t="s">
        <v>5</v>
      </c>
      <c r="E91" s="4" t="s">
        <v>6</v>
      </c>
      <c r="F91" s="4" t="s">
        <v>7</v>
      </c>
      <c r="G91" s="4" t="s">
        <v>8</v>
      </c>
    </row>
    <row r="92" spans="1:7" x14ac:dyDescent="0.25">
      <c r="A92" s="5" t="s">
        <v>133</v>
      </c>
      <c r="B92" s="5" t="s">
        <v>132</v>
      </c>
      <c r="C92" s="5">
        <v>180</v>
      </c>
      <c r="D92" s="5">
        <v>7.1599999999999993</v>
      </c>
      <c r="E92" s="5">
        <v>7.6599999999999993</v>
      </c>
      <c r="F92" s="5">
        <v>6</v>
      </c>
      <c r="G92" s="5">
        <v>121.6</v>
      </c>
    </row>
    <row r="93" spans="1:7" x14ac:dyDescent="0.25">
      <c r="A93" s="5" t="s">
        <v>135</v>
      </c>
      <c r="B93" s="5" t="s">
        <v>134</v>
      </c>
      <c r="C93" s="5">
        <v>70</v>
      </c>
      <c r="D93" s="5">
        <v>10.5</v>
      </c>
      <c r="E93" s="5">
        <v>17.100000000000001</v>
      </c>
      <c r="F93" s="5">
        <v>0.2</v>
      </c>
      <c r="G93" s="5">
        <v>197</v>
      </c>
    </row>
    <row r="94" spans="1:7" x14ac:dyDescent="0.25">
      <c r="A94" s="5" t="s">
        <v>59</v>
      </c>
      <c r="B94" s="5" t="s">
        <v>60</v>
      </c>
      <c r="C94" s="5">
        <v>30</v>
      </c>
      <c r="D94" s="5">
        <f>C94*9.5/1000</f>
        <v>0.28499999999999998</v>
      </c>
      <c r="E94" s="5">
        <f>C94*32.8/1000</f>
        <v>0.98399999999999987</v>
      </c>
      <c r="F94" s="5">
        <f>C94*46/1000</f>
        <v>1.38</v>
      </c>
      <c r="G94" s="5">
        <f>C94*519/1000</f>
        <v>15.57</v>
      </c>
    </row>
    <row r="95" spans="1:7" x14ac:dyDescent="0.25">
      <c r="A95" s="5" t="s">
        <v>61</v>
      </c>
      <c r="B95" s="5" t="s">
        <v>62</v>
      </c>
      <c r="C95" s="5">
        <v>150</v>
      </c>
      <c r="D95" s="5">
        <f>C95*60/1100</f>
        <v>8.1818181818181817</v>
      </c>
      <c r="E95" s="5">
        <f>C95*33.8/1100</f>
        <v>4.6090909090909093</v>
      </c>
      <c r="F95" s="5">
        <f>C95*268.6/1100</f>
        <v>36.627272727272725</v>
      </c>
      <c r="G95" s="5">
        <f>C95*1620/1100</f>
        <v>220.90909090909091</v>
      </c>
    </row>
    <row r="96" spans="1:7" x14ac:dyDescent="0.25">
      <c r="A96" s="5" t="s">
        <v>22</v>
      </c>
      <c r="B96" s="5" t="s">
        <v>19</v>
      </c>
      <c r="C96" s="5">
        <v>200</v>
      </c>
      <c r="D96" s="5">
        <f>C96*0.2/200</f>
        <v>0.2</v>
      </c>
      <c r="E96" s="5">
        <f>C96*0.1/200</f>
        <v>0.1</v>
      </c>
      <c r="F96" s="5">
        <f>C96*9.3/200</f>
        <v>9.3000000000000007</v>
      </c>
      <c r="G96" s="5">
        <f>C96*38/200</f>
        <v>38</v>
      </c>
    </row>
    <row r="97" spans="1:7" x14ac:dyDescent="0.25">
      <c r="A97" s="5" t="s">
        <v>53</v>
      </c>
      <c r="B97" s="5" t="s">
        <v>54</v>
      </c>
      <c r="C97" s="5">
        <v>50</v>
      </c>
      <c r="D97" s="5">
        <f>C97*7.6/100</f>
        <v>3.8</v>
      </c>
      <c r="E97" s="5">
        <f>C97*0.8/100</f>
        <v>0.4</v>
      </c>
      <c r="F97" s="5">
        <f>C97*49.2/100</f>
        <v>24.6</v>
      </c>
      <c r="G97" s="5">
        <f>C97*234/100</f>
        <v>117</v>
      </c>
    </row>
    <row r="98" spans="1:7" x14ac:dyDescent="0.25">
      <c r="A98" s="5" t="s">
        <v>15</v>
      </c>
      <c r="B98" s="5" t="s">
        <v>16</v>
      </c>
      <c r="C98" s="5">
        <v>50</v>
      </c>
      <c r="D98" s="5">
        <f>C98*8/100</f>
        <v>4</v>
      </c>
      <c r="E98" s="5">
        <f>C98*1.5/100</f>
        <v>0.75</v>
      </c>
      <c r="F98" s="5">
        <f>C98*40.1/100</f>
        <v>20.05</v>
      </c>
      <c r="G98" s="5">
        <f>C98*206/100</f>
        <v>103</v>
      </c>
    </row>
    <row r="99" spans="1:7" x14ac:dyDescent="0.25">
      <c r="A99" s="40" t="s">
        <v>17</v>
      </c>
      <c r="B99" s="41"/>
      <c r="C99" s="5">
        <f>SUM(C92:C98)</f>
        <v>730</v>
      </c>
      <c r="D99" s="5">
        <f>SUM(D92:D98)</f>
        <v>34.12681818181818</v>
      </c>
      <c r="E99" s="5">
        <f>SUM(E92:E98)</f>
        <v>31.603090909090909</v>
      </c>
      <c r="F99" s="5">
        <f>SUM(F92:F98)</f>
        <v>98.157272727272712</v>
      </c>
      <c r="G99" s="5">
        <f>SUM(G92:G98)</f>
        <v>813.07909090909095</v>
      </c>
    </row>
    <row r="100" spans="1:7" ht="3" customHeight="1" x14ac:dyDescent="0.25">
      <c r="A100" s="25"/>
      <c r="B100" s="25"/>
      <c r="C100" s="25"/>
      <c r="D100" s="25"/>
      <c r="E100" s="25"/>
      <c r="F100" s="25"/>
      <c r="G100" s="25"/>
    </row>
    <row r="101" spans="1:7" ht="15.75" thickBot="1" x14ac:dyDescent="0.3">
      <c r="A101" s="29" t="s">
        <v>110</v>
      </c>
      <c r="B101" s="25"/>
      <c r="C101" s="25"/>
      <c r="D101" s="25"/>
      <c r="E101" s="25"/>
      <c r="F101" s="25"/>
      <c r="G101" s="25"/>
    </row>
    <row r="102" spans="1:7" ht="15.75" thickBot="1" x14ac:dyDescent="0.3">
      <c r="A102" s="42" t="s">
        <v>0</v>
      </c>
      <c r="B102" s="42" t="s">
        <v>1</v>
      </c>
      <c r="C102" s="1" t="s">
        <v>2</v>
      </c>
      <c r="D102" s="44" t="s">
        <v>4</v>
      </c>
      <c r="E102" s="45"/>
      <c r="F102" s="45"/>
      <c r="G102" s="46"/>
    </row>
    <row r="103" spans="1:7" ht="26.25" x14ac:dyDescent="0.25">
      <c r="A103" s="43"/>
      <c r="B103" s="43"/>
      <c r="C103" s="4" t="s">
        <v>3</v>
      </c>
      <c r="D103" s="4" t="s">
        <v>5</v>
      </c>
      <c r="E103" s="4" t="s">
        <v>6</v>
      </c>
      <c r="F103" s="4" t="s">
        <v>7</v>
      </c>
      <c r="G103" s="4" t="s">
        <v>8</v>
      </c>
    </row>
    <row r="104" spans="1:7" x14ac:dyDescent="0.25">
      <c r="A104" s="5" t="s">
        <v>117</v>
      </c>
      <c r="B104" s="5" t="s">
        <v>118</v>
      </c>
      <c r="C104" s="5">
        <v>60</v>
      </c>
      <c r="D104" s="5">
        <f>C104*3.5/60</f>
        <v>3.5</v>
      </c>
      <c r="E104" s="5">
        <f>C104*1.4/60</f>
        <v>1.4</v>
      </c>
      <c r="F104" s="5">
        <f>C104*34.8/60</f>
        <v>34.799999999999997</v>
      </c>
      <c r="G104" s="5">
        <f>C104*166/60</f>
        <v>166</v>
      </c>
    </row>
    <row r="105" spans="1:7" x14ac:dyDescent="0.25">
      <c r="A105" s="5" t="s">
        <v>22</v>
      </c>
      <c r="B105" s="5" t="s">
        <v>19</v>
      </c>
      <c r="C105" s="5">
        <v>200</v>
      </c>
      <c r="D105" s="5">
        <f>C105*0.2/200</f>
        <v>0.2</v>
      </c>
      <c r="E105" s="5">
        <f>C105*0.1/200</f>
        <v>0.1</v>
      </c>
      <c r="F105" s="5">
        <f>C105*9.3/200</f>
        <v>9.3000000000000007</v>
      </c>
      <c r="G105" s="5">
        <f>C105*38/200</f>
        <v>38</v>
      </c>
    </row>
    <row r="106" spans="1:7" x14ac:dyDescent="0.25">
      <c r="A106" s="40" t="s">
        <v>70</v>
      </c>
      <c r="B106" s="41"/>
      <c r="C106" s="5">
        <f>SUM(C104:C105)</f>
        <v>260</v>
      </c>
      <c r="D106" s="5">
        <f>SUM(D104:D105)</f>
        <v>3.7</v>
      </c>
      <c r="E106" s="5">
        <f>SUM(E104:E105)</f>
        <v>1.5</v>
      </c>
      <c r="F106" s="5">
        <f>SUM(F104:F105)</f>
        <v>44.099999999999994</v>
      </c>
      <c r="G106" s="5">
        <f>SUM(G104:G105)</f>
        <v>204</v>
      </c>
    </row>
    <row r="107" spans="1:7" ht="30.75" customHeight="1" x14ac:dyDescent="0.25">
      <c r="A107" s="25"/>
      <c r="B107" s="22"/>
      <c r="C107" s="25"/>
      <c r="D107" s="25"/>
      <c r="E107" s="25"/>
      <c r="F107" s="25"/>
      <c r="G107" s="25"/>
    </row>
    <row r="108" spans="1:7" x14ac:dyDescent="0.25">
      <c r="A108" s="51" t="s">
        <v>67</v>
      </c>
      <c r="B108" s="51"/>
      <c r="C108" s="5">
        <f>C81+C87+C99+C106</f>
        <v>1630</v>
      </c>
      <c r="D108" s="5">
        <f>D81+D87+D99+D106</f>
        <v>55.892671840354765</v>
      </c>
      <c r="E108" s="5">
        <f>E81+E87+E99+E106</f>
        <v>53.998212860310417</v>
      </c>
      <c r="F108" s="5">
        <f>F81+F87+F99+F106</f>
        <v>213.82475240206946</v>
      </c>
      <c r="G108" s="5">
        <f>G81+G87+G99+G106</f>
        <v>1563.1018551367333</v>
      </c>
    </row>
    <row r="109" spans="1:7" x14ac:dyDescent="0.25">
      <c r="A109" s="2" t="s">
        <v>30</v>
      </c>
      <c r="B109" s="24"/>
      <c r="C109" s="24"/>
      <c r="D109" s="24"/>
      <c r="E109" s="24"/>
      <c r="F109" s="24"/>
      <c r="G109" s="24"/>
    </row>
    <row r="110" spans="1:7" ht="12.75" customHeight="1" thickBot="1" x14ac:dyDescent="0.3">
      <c r="A110" s="17" t="s">
        <v>69</v>
      </c>
      <c r="B110" s="2"/>
      <c r="C110" s="2"/>
      <c r="D110" s="2"/>
      <c r="E110" s="2"/>
      <c r="F110" s="2"/>
      <c r="G110" s="2"/>
    </row>
    <row r="111" spans="1:7" ht="15.75" thickBot="1" x14ac:dyDescent="0.3">
      <c r="A111" s="42" t="s">
        <v>0</v>
      </c>
      <c r="B111" s="42" t="s">
        <v>1</v>
      </c>
      <c r="C111" s="1" t="s">
        <v>2</v>
      </c>
      <c r="D111" s="44" t="s">
        <v>4</v>
      </c>
      <c r="E111" s="45"/>
      <c r="F111" s="45"/>
      <c r="G111" s="46"/>
    </row>
    <row r="112" spans="1:7" ht="26.25" x14ac:dyDescent="0.25">
      <c r="A112" s="43"/>
      <c r="B112" s="43"/>
      <c r="C112" s="4" t="s">
        <v>3</v>
      </c>
      <c r="D112" s="4" t="s">
        <v>5</v>
      </c>
      <c r="E112" s="4" t="s">
        <v>6</v>
      </c>
      <c r="F112" s="4" t="s">
        <v>7</v>
      </c>
      <c r="G112" s="4" t="s">
        <v>8</v>
      </c>
    </row>
    <row r="113" spans="1:664" x14ac:dyDescent="0.25">
      <c r="A113" s="5" t="s">
        <v>90</v>
      </c>
      <c r="B113" s="7" t="s">
        <v>89</v>
      </c>
      <c r="C113" s="5">
        <v>180</v>
      </c>
      <c r="D113" s="5">
        <f>C113*30.4/1025</f>
        <v>5.338536585365854</v>
      </c>
      <c r="E113" s="5">
        <f>C113*33/1025</f>
        <v>5.795121951219512</v>
      </c>
      <c r="F113" s="5">
        <f>C113*185.5/1025</f>
        <v>32.575609756097563</v>
      </c>
      <c r="G113" s="5">
        <f>C113*1161/1025</f>
        <v>203.88292682926829</v>
      </c>
    </row>
    <row r="114" spans="1:664" x14ac:dyDescent="0.25">
      <c r="A114" s="5" t="s">
        <v>73</v>
      </c>
      <c r="B114" s="5" t="s">
        <v>74</v>
      </c>
      <c r="C114" s="5">
        <v>60</v>
      </c>
      <c r="D114" s="5">
        <f>C114*1.6/35</f>
        <v>2.7428571428571429</v>
      </c>
      <c r="E114" s="5">
        <f>C114*11/35</f>
        <v>18.857142857142858</v>
      </c>
      <c r="F114" s="5">
        <f>C114*10/35</f>
        <v>17.142857142857142</v>
      </c>
      <c r="G114" s="5">
        <f>C114*146/35</f>
        <v>250.28571428571428</v>
      </c>
    </row>
    <row r="115" spans="1:664" x14ac:dyDescent="0.25">
      <c r="A115" s="5" t="s">
        <v>22</v>
      </c>
      <c r="B115" s="5" t="s">
        <v>19</v>
      </c>
      <c r="C115" s="5">
        <v>200</v>
      </c>
      <c r="D115" s="5">
        <f>C115*0.2/200</f>
        <v>0.2</v>
      </c>
      <c r="E115" s="5">
        <f>C115*0.1/200</f>
        <v>0.1</v>
      </c>
      <c r="F115" s="5">
        <f>C115*9.3/200</f>
        <v>9.3000000000000007</v>
      </c>
      <c r="G115" s="5">
        <f>C115*38/200</f>
        <v>38</v>
      </c>
    </row>
    <row r="116" spans="1:664" x14ac:dyDescent="0.25">
      <c r="A116" s="40" t="s">
        <v>70</v>
      </c>
      <c r="B116" s="41"/>
      <c r="C116" s="5">
        <f>SUM(C113:C115)</f>
        <v>440</v>
      </c>
      <c r="D116" s="5">
        <f>SUM(D113:D115)</f>
        <v>8.2813937282229961</v>
      </c>
      <c r="E116" s="5">
        <f>SUM(E113:E115)</f>
        <v>24.752264808362369</v>
      </c>
      <c r="F116" s="5">
        <f>SUM(F113:F115)</f>
        <v>59.018466898954699</v>
      </c>
      <c r="G116" s="5">
        <f>SUM(G113:G115)</f>
        <v>492.16864111498256</v>
      </c>
    </row>
    <row r="117" spans="1:664" ht="3.75" customHeight="1" x14ac:dyDescent="0.25">
      <c r="A117" s="25"/>
      <c r="B117" s="25"/>
      <c r="C117" s="25"/>
      <c r="D117" s="25"/>
      <c r="E117" s="25"/>
      <c r="F117" s="25"/>
      <c r="G117" s="25"/>
    </row>
    <row r="118" spans="1:664" ht="15.75" thickBot="1" x14ac:dyDescent="0.3">
      <c r="A118" s="52" t="s">
        <v>109</v>
      </c>
      <c r="B118" s="52"/>
      <c r="C118" s="25"/>
      <c r="D118" s="25"/>
      <c r="E118" s="25"/>
      <c r="F118" s="25"/>
      <c r="G118" s="25"/>
    </row>
    <row r="119" spans="1:664" ht="15.75" thickBot="1" x14ac:dyDescent="0.3">
      <c r="A119" s="42" t="s">
        <v>0</v>
      </c>
      <c r="B119" s="42" t="s">
        <v>1</v>
      </c>
      <c r="C119" s="1" t="s">
        <v>2</v>
      </c>
      <c r="D119" s="44" t="s">
        <v>4</v>
      </c>
      <c r="E119" s="45"/>
      <c r="F119" s="45"/>
      <c r="G119" s="46"/>
    </row>
    <row r="120" spans="1:664" ht="26.25" x14ac:dyDescent="0.25">
      <c r="A120" s="43"/>
      <c r="B120" s="43"/>
      <c r="C120" s="4" t="s">
        <v>3</v>
      </c>
      <c r="D120" s="4" t="s">
        <v>5</v>
      </c>
      <c r="E120" s="4" t="s">
        <v>6</v>
      </c>
      <c r="F120" s="4" t="s">
        <v>7</v>
      </c>
      <c r="G120" s="4" t="s">
        <v>8</v>
      </c>
    </row>
    <row r="121" spans="1:664" x14ac:dyDescent="0.25">
      <c r="A121" s="5" t="s">
        <v>21</v>
      </c>
      <c r="B121" s="5" t="s">
        <v>20</v>
      </c>
      <c r="C121" s="5">
        <v>100</v>
      </c>
      <c r="D121" s="5">
        <f>C121*0.4/100</f>
        <v>0.4</v>
      </c>
      <c r="E121" s="5">
        <f>C121*0.4/100</f>
        <v>0.4</v>
      </c>
      <c r="F121" s="5">
        <f>C121*9.8/100</f>
        <v>9.8000000000000007</v>
      </c>
      <c r="G121" s="5">
        <f>C121*44/100</f>
        <v>44</v>
      </c>
    </row>
    <row r="122" spans="1:664" s="13" customFormat="1" x14ac:dyDescent="0.25">
      <c r="A122" s="40" t="s">
        <v>70</v>
      </c>
      <c r="B122" s="41"/>
      <c r="C122" s="5">
        <v>100</v>
      </c>
      <c r="D122" s="5">
        <f>C122*0.4/100</f>
        <v>0.4</v>
      </c>
      <c r="E122" s="5">
        <f>C122*0.4/100</f>
        <v>0.4</v>
      </c>
      <c r="F122" s="5">
        <f>C122*9.8/100</f>
        <v>9.8000000000000007</v>
      </c>
      <c r="G122" s="5">
        <f>C122*44/100</f>
        <v>44</v>
      </c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  <c r="EY122" s="9"/>
      <c r="EZ122" s="9"/>
      <c r="FA122" s="9"/>
      <c r="FB122" s="9"/>
      <c r="FC122" s="9"/>
      <c r="FD122" s="9"/>
      <c r="FE122" s="9"/>
      <c r="FF122" s="9"/>
      <c r="FG122" s="9"/>
      <c r="FH122" s="9"/>
      <c r="FI122" s="9"/>
      <c r="FJ122" s="9"/>
      <c r="FK122" s="9"/>
      <c r="FL122" s="9"/>
      <c r="FM122" s="9"/>
      <c r="FN122" s="9"/>
      <c r="FO122" s="9"/>
      <c r="FP122" s="9"/>
      <c r="FQ122" s="9"/>
      <c r="FR122" s="9"/>
      <c r="FS122" s="9"/>
      <c r="FT122" s="9"/>
      <c r="FU122" s="9"/>
      <c r="FV122" s="9"/>
      <c r="FW122" s="9"/>
      <c r="FX122" s="9"/>
      <c r="FY122" s="9"/>
      <c r="FZ122" s="9"/>
      <c r="GA122" s="9"/>
      <c r="GB122" s="9"/>
      <c r="GC122" s="9"/>
      <c r="GD122" s="9"/>
      <c r="GE122" s="9"/>
      <c r="GF122" s="9"/>
      <c r="GG122" s="9"/>
      <c r="GH122" s="9"/>
      <c r="GI122" s="9"/>
      <c r="GJ122" s="9"/>
      <c r="GK122" s="9"/>
      <c r="GL122" s="9"/>
      <c r="GM122" s="9"/>
      <c r="GN122" s="9"/>
      <c r="GO122" s="9"/>
      <c r="GP122" s="9"/>
      <c r="GQ122" s="9"/>
      <c r="GR122" s="9"/>
      <c r="GS122" s="9"/>
      <c r="GT122" s="9"/>
      <c r="GU122" s="9"/>
      <c r="GV122" s="9"/>
      <c r="GW122" s="9"/>
      <c r="GX122" s="9"/>
      <c r="GY122" s="9"/>
      <c r="GZ122" s="9"/>
      <c r="HA122" s="9"/>
      <c r="HB122" s="9"/>
      <c r="HC122" s="9"/>
      <c r="HD122" s="9"/>
      <c r="HE122" s="9"/>
      <c r="HF122" s="9"/>
      <c r="HG122" s="9"/>
      <c r="HH122" s="9"/>
      <c r="HI122" s="9"/>
      <c r="HJ122" s="9"/>
      <c r="HK122" s="9"/>
      <c r="HL122" s="9"/>
      <c r="HM122" s="9"/>
      <c r="HN122" s="9"/>
      <c r="HO122" s="9"/>
      <c r="HP122" s="9"/>
      <c r="HQ122" s="9"/>
      <c r="HR122" s="9"/>
      <c r="HS122" s="9"/>
      <c r="HT122" s="9"/>
      <c r="HU122" s="9"/>
      <c r="HV122" s="9"/>
      <c r="HW122" s="9"/>
      <c r="HX122" s="9"/>
      <c r="HY122" s="9"/>
      <c r="HZ122" s="9"/>
      <c r="IA122" s="9"/>
      <c r="IB122" s="9"/>
      <c r="IC122" s="9"/>
      <c r="ID122" s="9"/>
      <c r="IE122" s="9"/>
      <c r="IF122" s="9"/>
      <c r="IG122" s="9"/>
      <c r="IH122" s="9"/>
      <c r="II122" s="9"/>
      <c r="IJ122" s="9"/>
      <c r="IK122" s="9"/>
      <c r="IL122" s="9"/>
      <c r="IM122" s="9"/>
      <c r="IN122" s="9"/>
      <c r="IO122" s="9"/>
      <c r="IP122" s="9"/>
      <c r="IQ122" s="9"/>
      <c r="IR122" s="9"/>
      <c r="IS122" s="9"/>
      <c r="IT122" s="9"/>
      <c r="IU122" s="9"/>
      <c r="IV122" s="9"/>
      <c r="IW122" s="9"/>
      <c r="IX122" s="9"/>
      <c r="IY122" s="9"/>
      <c r="IZ122" s="9"/>
      <c r="JA122" s="9"/>
      <c r="JB122" s="9"/>
      <c r="JC122" s="9"/>
      <c r="JD122" s="9"/>
      <c r="JE122" s="9"/>
      <c r="JF122" s="9"/>
      <c r="JG122" s="9"/>
      <c r="JH122" s="9"/>
      <c r="JI122" s="9"/>
      <c r="JJ122" s="9"/>
      <c r="JK122" s="9"/>
      <c r="JL122" s="9"/>
      <c r="JM122" s="9"/>
      <c r="JN122" s="9"/>
      <c r="JO122" s="9"/>
      <c r="JP122" s="9"/>
      <c r="JQ122" s="9"/>
      <c r="JR122" s="9"/>
      <c r="JS122" s="9"/>
      <c r="JT122" s="9"/>
      <c r="JU122" s="9"/>
      <c r="JV122" s="9"/>
      <c r="JW122" s="9"/>
      <c r="JX122" s="9"/>
      <c r="JY122" s="9"/>
      <c r="JZ122" s="9"/>
      <c r="KA122" s="9"/>
      <c r="KB122" s="9"/>
      <c r="KC122" s="9"/>
      <c r="KD122" s="9"/>
      <c r="KE122" s="9"/>
      <c r="KF122" s="9"/>
      <c r="KG122" s="9"/>
      <c r="KH122" s="9"/>
      <c r="KI122" s="9"/>
      <c r="KJ122" s="9"/>
      <c r="KK122" s="9"/>
      <c r="KL122" s="9"/>
      <c r="KM122" s="9"/>
      <c r="KN122" s="9"/>
      <c r="KO122" s="9"/>
      <c r="KP122" s="9"/>
      <c r="KQ122" s="9"/>
      <c r="KR122" s="9"/>
      <c r="KS122" s="9"/>
      <c r="KT122" s="9"/>
      <c r="KU122" s="9"/>
      <c r="KV122" s="9"/>
      <c r="KW122" s="9"/>
      <c r="KX122" s="9"/>
      <c r="KY122" s="9"/>
      <c r="KZ122" s="9"/>
      <c r="LA122" s="9"/>
      <c r="LB122" s="9"/>
      <c r="LC122" s="9"/>
      <c r="LD122" s="9"/>
      <c r="LE122" s="9"/>
      <c r="LF122" s="9"/>
      <c r="LG122" s="9"/>
      <c r="LH122" s="9"/>
      <c r="LI122" s="9"/>
      <c r="LJ122" s="9"/>
      <c r="LK122" s="9"/>
      <c r="LL122" s="9"/>
      <c r="LM122" s="9"/>
      <c r="LN122" s="9"/>
      <c r="LO122" s="9"/>
      <c r="LP122" s="9"/>
      <c r="LQ122" s="9"/>
      <c r="LR122" s="9"/>
      <c r="LS122" s="9"/>
      <c r="LT122" s="9"/>
      <c r="LU122" s="9"/>
      <c r="LV122" s="9"/>
      <c r="LW122" s="9"/>
      <c r="LX122" s="9"/>
      <c r="LY122" s="9"/>
      <c r="LZ122" s="9"/>
      <c r="MA122" s="9"/>
      <c r="MB122" s="9"/>
      <c r="MC122" s="9"/>
      <c r="MD122" s="9"/>
      <c r="ME122" s="9"/>
      <c r="MF122" s="9"/>
      <c r="MG122" s="9"/>
      <c r="MH122" s="9"/>
      <c r="MI122" s="9"/>
      <c r="MJ122" s="9"/>
      <c r="MK122" s="9"/>
      <c r="ML122" s="9"/>
      <c r="MM122" s="9"/>
      <c r="MN122" s="9"/>
      <c r="MO122" s="9"/>
      <c r="MP122" s="9"/>
      <c r="MQ122" s="9"/>
      <c r="MR122" s="9"/>
      <c r="MS122" s="9"/>
      <c r="MT122" s="9"/>
      <c r="MU122" s="9"/>
      <c r="MV122" s="9"/>
      <c r="MW122" s="9"/>
      <c r="MX122" s="9"/>
      <c r="MY122" s="9"/>
      <c r="MZ122" s="9"/>
      <c r="NA122" s="9"/>
      <c r="NB122" s="9"/>
      <c r="NC122" s="9"/>
      <c r="ND122" s="9"/>
      <c r="NE122" s="9"/>
      <c r="NF122" s="9"/>
      <c r="NG122" s="9"/>
      <c r="NH122" s="9"/>
      <c r="NI122" s="9"/>
      <c r="NJ122" s="9"/>
      <c r="NK122" s="9"/>
      <c r="NL122" s="9"/>
      <c r="NM122" s="9"/>
      <c r="NN122" s="9"/>
      <c r="NO122" s="9"/>
      <c r="NP122" s="9"/>
      <c r="NQ122" s="9"/>
      <c r="NR122" s="9"/>
      <c r="NS122" s="9"/>
      <c r="NT122" s="9"/>
      <c r="NU122" s="9"/>
      <c r="NV122" s="9"/>
      <c r="NW122" s="9"/>
      <c r="NX122" s="9"/>
      <c r="NY122" s="9"/>
      <c r="NZ122" s="9"/>
      <c r="OA122" s="9"/>
      <c r="OB122" s="9"/>
      <c r="OC122" s="9"/>
      <c r="OD122" s="9"/>
      <c r="OE122" s="9"/>
      <c r="OF122" s="9"/>
      <c r="OG122" s="9"/>
      <c r="OH122" s="9"/>
      <c r="OI122" s="9"/>
      <c r="OJ122" s="9"/>
      <c r="OK122" s="9"/>
      <c r="OL122" s="9"/>
      <c r="OM122" s="9"/>
      <c r="ON122" s="9"/>
      <c r="OO122" s="9"/>
      <c r="OP122" s="9"/>
      <c r="OQ122" s="9"/>
      <c r="OR122" s="9"/>
      <c r="OS122" s="9"/>
      <c r="OT122" s="9"/>
      <c r="OU122" s="9"/>
      <c r="OV122" s="9"/>
      <c r="OW122" s="9"/>
      <c r="OX122" s="9"/>
      <c r="OY122" s="9"/>
      <c r="OZ122" s="9"/>
      <c r="PA122" s="9"/>
      <c r="PB122" s="9"/>
      <c r="PC122" s="9"/>
      <c r="PD122" s="9"/>
      <c r="PE122" s="9"/>
      <c r="PF122" s="9"/>
      <c r="PG122" s="9"/>
      <c r="PH122" s="9"/>
      <c r="PI122" s="9"/>
      <c r="PJ122" s="9"/>
      <c r="PK122" s="9"/>
      <c r="PL122" s="9"/>
      <c r="PM122" s="9"/>
      <c r="PN122" s="9"/>
      <c r="PO122" s="9"/>
      <c r="PP122" s="9"/>
      <c r="PQ122" s="9"/>
      <c r="PR122" s="9"/>
      <c r="PS122" s="9"/>
      <c r="PT122" s="9"/>
      <c r="PU122" s="9"/>
      <c r="PV122" s="9"/>
      <c r="PW122" s="9"/>
      <c r="PX122" s="9"/>
      <c r="PY122" s="9"/>
      <c r="PZ122" s="9"/>
      <c r="QA122" s="9"/>
      <c r="QB122" s="9"/>
      <c r="QC122" s="9"/>
      <c r="QD122" s="9"/>
      <c r="QE122" s="9"/>
      <c r="QF122" s="9"/>
      <c r="QG122" s="9"/>
      <c r="QH122" s="9"/>
      <c r="QI122" s="9"/>
      <c r="QJ122" s="9"/>
      <c r="QK122" s="9"/>
      <c r="QL122" s="9"/>
      <c r="QM122" s="9"/>
      <c r="QN122" s="9"/>
      <c r="QO122" s="9"/>
      <c r="QP122" s="9"/>
      <c r="QQ122" s="9"/>
      <c r="QR122" s="9"/>
      <c r="QS122" s="9"/>
      <c r="QT122" s="9"/>
      <c r="QU122" s="9"/>
      <c r="QV122" s="9"/>
      <c r="QW122" s="9"/>
      <c r="QX122" s="9"/>
      <c r="QY122" s="9"/>
      <c r="QZ122" s="9"/>
      <c r="RA122" s="9"/>
      <c r="RB122" s="9"/>
      <c r="RC122" s="9"/>
      <c r="RD122" s="9"/>
      <c r="RE122" s="9"/>
      <c r="RF122" s="9"/>
      <c r="RG122" s="9"/>
      <c r="RH122" s="9"/>
      <c r="RI122" s="9"/>
      <c r="RJ122" s="9"/>
      <c r="RK122" s="9"/>
      <c r="RL122" s="9"/>
      <c r="RM122" s="9"/>
      <c r="RN122" s="9"/>
      <c r="RO122" s="9"/>
      <c r="RP122" s="9"/>
      <c r="RQ122" s="9"/>
      <c r="RR122" s="9"/>
      <c r="RS122" s="9"/>
      <c r="RT122" s="9"/>
      <c r="RU122" s="9"/>
      <c r="RV122" s="9"/>
      <c r="RW122" s="9"/>
      <c r="RX122" s="9"/>
      <c r="RY122" s="9"/>
      <c r="RZ122" s="9"/>
      <c r="SA122" s="9"/>
      <c r="SB122" s="9"/>
      <c r="SC122" s="9"/>
      <c r="SD122" s="9"/>
      <c r="SE122" s="9"/>
      <c r="SF122" s="9"/>
      <c r="SG122" s="9"/>
      <c r="SH122" s="9"/>
      <c r="SI122" s="9"/>
      <c r="SJ122" s="9"/>
      <c r="SK122" s="9"/>
      <c r="SL122" s="9"/>
      <c r="SM122" s="9"/>
      <c r="SN122" s="9"/>
      <c r="SO122" s="9"/>
      <c r="SP122" s="9"/>
      <c r="SQ122" s="9"/>
      <c r="SR122" s="9"/>
      <c r="SS122" s="9"/>
      <c r="ST122" s="9"/>
      <c r="SU122" s="9"/>
      <c r="SV122" s="9"/>
      <c r="SW122" s="9"/>
      <c r="SX122" s="9"/>
      <c r="SY122" s="9"/>
      <c r="SZ122" s="9"/>
      <c r="TA122" s="9"/>
      <c r="TB122" s="9"/>
      <c r="TC122" s="9"/>
      <c r="TD122" s="9"/>
      <c r="TE122" s="9"/>
      <c r="TF122" s="9"/>
      <c r="TG122" s="9"/>
      <c r="TH122" s="9"/>
      <c r="TI122" s="9"/>
      <c r="TJ122" s="9"/>
      <c r="TK122" s="9"/>
      <c r="TL122" s="9"/>
      <c r="TM122" s="9"/>
      <c r="TN122" s="9"/>
      <c r="TO122" s="9"/>
      <c r="TP122" s="9"/>
      <c r="TQ122" s="9"/>
      <c r="TR122" s="9"/>
      <c r="TS122" s="9"/>
      <c r="TT122" s="9"/>
      <c r="TU122" s="9"/>
      <c r="TV122" s="9"/>
      <c r="TW122" s="9"/>
      <c r="TX122" s="9"/>
      <c r="TY122" s="9"/>
      <c r="TZ122" s="9"/>
      <c r="UA122" s="9"/>
      <c r="UB122" s="9"/>
      <c r="UC122" s="9"/>
      <c r="UD122" s="9"/>
      <c r="UE122" s="9"/>
      <c r="UF122" s="9"/>
      <c r="UG122" s="9"/>
      <c r="UH122" s="9"/>
      <c r="UI122" s="9"/>
      <c r="UJ122" s="9"/>
      <c r="UK122" s="9"/>
      <c r="UL122" s="9"/>
      <c r="UM122" s="9"/>
      <c r="UN122" s="9"/>
      <c r="UO122" s="9"/>
      <c r="UP122" s="9"/>
      <c r="UQ122" s="9"/>
      <c r="UR122" s="9"/>
      <c r="US122" s="9"/>
      <c r="UT122" s="9"/>
      <c r="UU122" s="9"/>
      <c r="UV122" s="9"/>
      <c r="UW122" s="9"/>
      <c r="UX122" s="9"/>
      <c r="UY122" s="9"/>
      <c r="UZ122" s="9"/>
      <c r="VA122" s="9"/>
      <c r="VB122" s="9"/>
      <c r="VC122" s="9"/>
      <c r="VD122" s="9"/>
      <c r="VE122" s="9"/>
      <c r="VF122" s="9"/>
      <c r="VG122" s="9"/>
      <c r="VH122" s="9"/>
      <c r="VI122" s="9"/>
      <c r="VJ122" s="9"/>
      <c r="VK122" s="9"/>
      <c r="VL122" s="9"/>
      <c r="VM122" s="9"/>
      <c r="VN122" s="9"/>
      <c r="VO122" s="9"/>
      <c r="VP122" s="9"/>
      <c r="VQ122" s="9"/>
      <c r="VR122" s="9"/>
      <c r="VS122" s="9"/>
      <c r="VT122" s="9"/>
      <c r="VU122" s="9"/>
      <c r="VV122" s="9"/>
      <c r="VW122" s="9"/>
      <c r="VX122" s="9"/>
      <c r="VY122" s="9"/>
      <c r="VZ122" s="9"/>
      <c r="WA122" s="9"/>
      <c r="WB122" s="9"/>
      <c r="WC122" s="9"/>
      <c r="WD122" s="9"/>
      <c r="WE122" s="9"/>
      <c r="WF122" s="9"/>
      <c r="WG122" s="9"/>
      <c r="WH122" s="9"/>
      <c r="WI122" s="9"/>
      <c r="WJ122" s="9"/>
      <c r="WK122" s="9"/>
      <c r="WL122" s="9"/>
      <c r="WM122" s="9"/>
      <c r="WN122" s="9"/>
      <c r="WO122" s="9"/>
      <c r="WP122" s="9"/>
      <c r="WQ122" s="9"/>
      <c r="WR122" s="9"/>
      <c r="WS122" s="9"/>
      <c r="WT122" s="9"/>
      <c r="WU122" s="9"/>
      <c r="WV122" s="9"/>
      <c r="WW122" s="9"/>
      <c r="WX122" s="9"/>
      <c r="WY122" s="9"/>
      <c r="WZ122" s="9"/>
      <c r="XA122" s="9"/>
      <c r="XB122" s="9"/>
      <c r="XC122" s="9"/>
      <c r="XD122" s="9"/>
      <c r="XE122" s="9"/>
      <c r="XF122" s="9"/>
      <c r="XG122" s="9"/>
      <c r="XH122" s="9"/>
      <c r="XI122" s="9"/>
      <c r="XJ122" s="9"/>
      <c r="XK122" s="9"/>
      <c r="XL122" s="9"/>
      <c r="XM122" s="9"/>
      <c r="XN122" s="9"/>
      <c r="XO122" s="9"/>
      <c r="XP122" s="9"/>
      <c r="XQ122" s="9"/>
      <c r="XR122" s="9"/>
      <c r="XS122" s="9"/>
      <c r="XT122" s="9"/>
      <c r="XU122" s="9"/>
      <c r="XV122" s="9"/>
      <c r="XW122" s="9"/>
      <c r="XX122" s="9"/>
      <c r="XY122" s="9"/>
      <c r="XZ122" s="9"/>
      <c r="YA122" s="9"/>
      <c r="YB122" s="9"/>
      <c r="YC122" s="9"/>
      <c r="YD122" s="9"/>
      <c r="YE122" s="9"/>
      <c r="YF122" s="9"/>
      <c r="YG122" s="9"/>
      <c r="YH122" s="9"/>
      <c r="YI122" s="9"/>
      <c r="YJ122" s="9"/>
      <c r="YK122" s="9"/>
      <c r="YL122" s="9"/>
      <c r="YM122" s="9"/>
      <c r="YN122" s="9"/>
    </row>
    <row r="123" spans="1:664" ht="3" customHeight="1" x14ac:dyDescent="0.25">
      <c r="A123" s="25"/>
      <c r="B123" s="25"/>
      <c r="C123" s="25"/>
      <c r="D123" s="25"/>
      <c r="E123" s="25"/>
      <c r="F123" s="25"/>
      <c r="G123" s="25"/>
    </row>
    <row r="124" spans="1:664" ht="12" customHeight="1" thickBot="1" x14ac:dyDescent="0.3">
      <c r="A124" s="6" t="s">
        <v>10</v>
      </c>
      <c r="B124" s="24"/>
      <c r="C124" s="24"/>
      <c r="D124" s="24"/>
      <c r="E124" s="24"/>
      <c r="F124" s="24"/>
      <c r="G124" s="24"/>
    </row>
    <row r="125" spans="1:664" ht="15.75" thickBot="1" x14ac:dyDescent="0.3">
      <c r="A125" s="42" t="s">
        <v>0</v>
      </c>
      <c r="B125" s="42" t="s">
        <v>1</v>
      </c>
      <c r="C125" s="1" t="s">
        <v>2</v>
      </c>
      <c r="D125" s="44" t="s">
        <v>4</v>
      </c>
      <c r="E125" s="45"/>
      <c r="F125" s="45"/>
      <c r="G125" s="46"/>
    </row>
    <row r="126" spans="1:664" ht="26.25" x14ac:dyDescent="0.25">
      <c r="A126" s="43"/>
      <c r="B126" s="43"/>
      <c r="C126" s="4" t="s">
        <v>3</v>
      </c>
      <c r="D126" s="4" t="s">
        <v>5</v>
      </c>
      <c r="E126" s="4" t="s">
        <v>6</v>
      </c>
      <c r="F126" s="4" t="s">
        <v>7</v>
      </c>
      <c r="G126" s="4" t="s">
        <v>8</v>
      </c>
    </row>
    <row r="127" spans="1:664" x14ac:dyDescent="0.25">
      <c r="A127" s="5" t="s">
        <v>45</v>
      </c>
      <c r="B127" s="5" t="s">
        <v>46</v>
      </c>
      <c r="C127" s="5">
        <v>180</v>
      </c>
      <c r="D127" s="5">
        <f>C127*10.5/1000</f>
        <v>1.89</v>
      </c>
      <c r="E127" s="5">
        <f>C127*20.4/1000</f>
        <v>3.6719999999999997</v>
      </c>
      <c r="F127" s="5">
        <f>C127*53/1000</f>
        <v>9.5399999999999991</v>
      </c>
      <c r="G127" s="5">
        <f>C127*438/1000</f>
        <v>78.84</v>
      </c>
    </row>
    <row r="128" spans="1:664" x14ac:dyDescent="0.25">
      <c r="A128" s="5" t="s">
        <v>138</v>
      </c>
      <c r="B128" s="5" t="s">
        <v>137</v>
      </c>
      <c r="C128" s="5">
        <v>80</v>
      </c>
      <c r="D128" s="5">
        <v>11.5</v>
      </c>
      <c r="E128" s="5">
        <v>10.3</v>
      </c>
      <c r="F128" s="5">
        <v>5.4</v>
      </c>
      <c r="G128" s="5">
        <v>160</v>
      </c>
    </row>
    <row r="129" spans="1:7" x14ac:dyDescent="0.25">
      <c r="A129" s="5" t="s">
        <v>104</v>
      </c>
      <c r="B129" s="5" t="s">
        <v>103</v>
      </c>
      <c r="C129" s="5">
        <v>30</v>
      </c>
      <c r="D129" s="5">
        <f>C129*29.5/1000</f>
        <v>0.88500000000000001</v>
      </c>
      <c r="E129" s="5">
        <f>C129*186.9/1000</f>
        <v>5.6070000000000002</v>
      </c>
      <c r="F129" s="5">
        <f>C129*48.5/1000</f>
        <v>1.4550000000000001</v>
      </c>
      <c r="G129" s="5">
        <f>C129*1994/1000</f>
        <v>59.82</v>
      </c>
    </row>
    <row r="130" spans="1:7" x14ac:dyDescent="0.25">
      <c r="A130" s="5" t="s">
        <v>39</v>
      </c>
      <c r="B130" s="5" t="s">
        <v>37</v>
      </c>
      <c r="C130" s="5">
        <v>150</v>
      </c>
      <c r="D130" s="5">
        <f>C130*3.7/100</f>
        <v>5.55</v>
      </c>
      <c r="E130" s="5">
        <f>C130*3.3/100</f>
        <v>4.95</v>
      </c>
      <c r="F130" s="5">
        <f>C130*19.7/100</f>
        <v>29.55</v>
      </c>
      <c r="G130" s="5">
        <f>C130*123/100</f>
        <v>184.5</v>
      </c>
    </row>
    <row r="131" spans="1:7" x14ac:dyDescent="0.25">
      <c r="A131" s="5" t="s">
        <v>22</v>
      </c>
      <c r="B131" s="5" t="s">
        <v>19</v>
      </c>
      <c r="C131" s="5">
        <v>200</v>
      </c>
      <c r="D131" s="5">
        <f>C131*0.2/200</f>
        <v>0.2</v>
      </c>
      <c r="E131" s="5">
        <f>C131*0.1/200</f>
        <v>0.1</v>
      </c>
      <c r="F131" s="5">
        <f>C131*9.3/200</f>
        <v>9.3000000000000007</v>
      </c>
      <c r="G131" s="5">
        <f>C131*38/200</f>
        <v>38</v>
      </c>
    </row>
    <row r="132" spans="1:7" x14ac:dyDescent="0.25">
      <c r="A132" s="5" t="s">
        <v>53</v>
      </c>
      <c r="B132" s="5" t="s">
        <v>54</v>
      </c>
      <c r="C132" s="5">
        <v>50</v>
      </c>
      <c r="D132" s="5">
        <f>C132*7.6/100</f>
        <v>3.8</v>
      </c>
      <c r="E132" s="5">
        <f>C132*0.8/100</f>
        <v>0.4</v>
      </c>
      <c r="F132" s="5">
        <f>C132*49.2/100</f>
        <v>24.6</v>
      </c>
      <c r="G132" s="5">
        <f>C132*234/100</f>
        <v>117</v>
      </c>
    </row>
    <row r="133" spans="1:7" x14ac:dyDescent="0.25">
      <c r="A133" s="5" t="s">
        <v>15</v>
      </c>
      <c r="B133" s="5" t="s">
        <v>16</v>
      </c>
      <c r="C133" s="5">
        <v>50</v>
      </c>
      <c r="D133" s="5">
        <f>C133*8/100</f>
        <v>4</v>
      </c>
      <c r="E133" s="5">
        <f>C133*1.5/100</f>
        <v>0.75</v>
      </c>
      <c r="F133" s="5">
        <f>C133*40.1/100</f>
        <v>20.05</v>
      </c>
      <c r="G133" s="5">
        <f>C133*206/100</f>
        <v>103</v>
      </c>
    </row>
    <row r="134" spans="1:7" x14ac:dyDescent="0.25">
      <c r="A134" s="5" t="s">
        <v>21</v>
      </c>
      <c r="B134" s="5" t="s">
        <v>20</v>
      </c>
      <c r="C134" s="5">
        <v>100</v>
      </c>
      <c r="D134" s="5">
        <f>C134*0.4/100</f>
        <v>0.4</v>
      </c>
      <c r="E134" s="5">
        <f>C134*0.4/100</f>
        <v>0.4</v>
      </c>
      <c r="F134" s="5">
        <f>C134*9.8/100</f>
        <v>9.8000000000000007</v>
      </c>
      <c r="G134" s="5">
        <f>C134*44/100</f>
        <v>44</v>
      </c>
    </row>
    <row r="135" spans="1:7" x14ac:dyDescent="0.25">
      <c r="A135" s="40" t="s">
        <v>17</v>
      </c>
      <c r="B135" s="41"/>
      <c r="C135" s="5">
        <f>SUM(C127:C134)</f>
        <v>840</v>
      </c>
      <c r="D135" s="5">
        <f>SUM(D127:D134)</f>
        <v>28.224999999999998</v>
      </c>
      <c r="E135" s="5">
        <f>SUM(E127:E134)</f>
        <v>26.178999999999998</v>
      </c>
      <c r="F135" s="5">
        <f>SUM(F127:F134)</f>
        <v>109.69499999999999</v>
      </c>
      <c r="G135" s="5">
        <f>SUM(G127:G134)</f>
        <v>785.16000000000008</v>
      </c>
    </row>
    <row r="136" spans="1:7" ht="6" customHeight="1" x14ac:dyDescent="0.25">
      <c r="A136" s="30"/>
      <c r="B136" s="19"/>
      <c r="C136" s="19"/>
      <c r="D136" s="19"/>
      <c r="E136" s="19"/>
      <c r="F136" s="19"/>
      <c r="G136" s="19"/>
    </row>
    <row r="137" spans="1:7" ht="12" customHeight="1" thickBot="1" x14ac:dyDescent="0.3">
      <c r="A137" s="29" t="s">
        <v>110</v>
      </c>
      <c r="B137" s="25"/>
      <c r="C137" s="25"/>
      <c r="D137" s="25"/>
      <c r="E137" s="25"/>
      <c r="F137" s="25"/>
      <c r="G137" s="25"/>
    </row>
    <row r="138" spans="1:7" ht="15.75" thickBot="1" x14ac:dyDescent="0.3">
      <c r="A138" s="42" t="s">
        <v>0</v>
      </c>
      <c r="B138" s="42" t="s">
        <v>1</v>
      </c>
      <c r="C138" s="1" t="s">
        <v>2</v>
      </c>
      <c r="D138" s="44" t="s">
        <v>4</v>
      </c>
      <c r="E138" s="45"/>
      <c r="F138" s="45"/>
      <c r="G138" s="46"/>
    </row>
    <row r="139" spans="1:7" ht="26.25" x14ac:dyDescent="0.25">
      <c r="A139" s="43"/>
      <c r="B139" s="43"/>
      <c r="C139" s="4" t="s">
        <v>3</v>
      </c>
      <c r="D139" s="4" t="s">
        <v>5</v>
      </c>
      <c r="E139" s="4" t="s">
        <v>6</v>
      </c>
      <c r="F139" s="4" t="s">
        <v>7</v>
      </c>
      <c r="G139" s="4" t="s">
        <v>8</v>
      </c>
    </row>
    <row r="140" spans="1:7" x14ac:dyDescent="0.25">
      <c r="A140" s="5" t="s">
        <v>117</v>
      </c>
      <c r="B140" s="5" t="s">
        <v>119</v>
      </c>
      <c r="C140" s="5">
        <v>60</v>
      </c>
      <c r="D140" s="5">
        <f>C140*5.8/60</f>
        <v>5.8</v>
      </c>
      <c r="E140" s="5">
        <f>C140*5.4/60</f>
        <v>5.4</v>
      </c>
      <c r="F140" s="5">
        <f>C140*27.3/60</f>
        <v>27.3</v>
      </c>
      <c r="G140" s="5">
        <f>C140*181/60</f>
        <v>181</v>
      </c>
    </row>
    <row r="141" spans="1:7" x14ac:dyDescent="0.25">
      <c r="A141" s="5" t="s">
        <v>22</v>
      </c>
      <c r="B141" s="5" t="s">
        <v>19</v>
      </c>
      <c r="C141" s="5">
        <v>200</v>
      </c>
      <c r="D141" s="5">
        <f>C141*0.2/200</f>
        <v>0.2</v>
      </c>
      <c r="E141" s="5">
        <f>C141*0.1/200</f>
        <v>0.1</v>
      </c>
      <c r="F141" s="5">
        <f>C141*9.3/200</f>
        <v>9.3000000000000007</v>
      </c>
      <c r="G141" s="5">
        <f>C141*38/200</f>
        <v>38</v>
      </c>
    </row>
    <row r="142" spans="1:7" x14ac:dyDescent="0.25">
      <c r="A142" s="40" t="s">
        <v>70</v>
      </c>
      <c r="B142" s="41"/>
      <c r="C142" s="5">
        <f>SUM(C140:C141)</f>
        <v>260</v>
      </c>
      <c r="D142" s="5">
        <f>SUM(D140:D141)</f>
        <v>6</v>
      </c>
      <c r="E142" s="5">
        <f>SUM(E140:E141)</f>
        <v>5.5</v>
      </c>
      <c r="F142" s="5">
        <f>SUM(F140:F141)</f>
        <v>36.6</v>
      </c>
      <c r="G142" s="5">
        <f>SUM(G140:G141)</f>
        <v>219</v>
      </c>
    </row>
    <row r="143" spans="1:7" ht="36" customHeight="1" x14ac:dyDescent="0.25">
      <c r="A143" s="25"/>
      <c r="B143" s="22"/>
      <c r="C143" s="25"/>
      <c r="D143" s="25"/>
      <c r="E143" s="25"/>
      <c r="F143" s="25"/>
      <c r="G143" s="25"/>
    </row>
    <row r="144" spans="1:7" x14ac:dyDescent="0.25">
      <c r="A144" s="51" t="s">
        <v>67</v>
      </c>
      <c r="B144" s="51"/>
      <c r="C144" s="5">
        <f>C116+C122+C135+C142</f>
        <v>1640</v>
      </c>
      <c r="D144" s="5">
        <f>D116+D122+D135+D142</f>
        <v>42.906393728222994</v>
      </c>
      <c r="E144" s="5">
        <f>E116+E122+E135+E142</f>
        <v>56.831264808362363</v>
      </c>
      <c r="F144" s="5">
        <f>F116+F122+F135+F142</f>
        <v>215.11346689895467</v>
      </c>
      <c r="G144" s="5">
        <f>G116+G122+G135+G142</f>
        <v>1540.3286411149827</v>
      </c>
    </row>
    <row r="145" spans="1:7" ht="13.5" customHeight="1" x14ac:dyDescent="0.25">
      <c r="A145" s="2" t="s">
        <v>35</v>
      </c>
      <c r="B145" s="24"/>
      <c r="C145" s="24"/>
      <c r="D145" s="24"/>
      <c r="E145" s="24"/>
      <c r="F145" s="24"/>
      <c r="G145" s="24"/>
    </row>
    <row r="146" spans="1:7" ht="15.75" thickBot="1" x14ac:dyDescent="0.3">
      <c r="A146" s="17" t="s">
        <v>69</v>
      </c>
      <c r="B146" s="2"/>
      <c r="C146" s="2"/>
      <c r="D146" s="2"/>
      <c r="E146" s="2"/>
      <c r="F146" s="2"/>
      <c r="G146" s="2"/>
    </row>
    <row r="147" spans="1:7" ht="15.75" thickBot="1" x14ac:dyDescent="0.3">
      <c r="A147" s="42" t="s">
        <v>0</v>
      </c>
      <c r="B147" s="42" t="s">
        <v>1</v>
      </c>
      <c r="C147" s="1" t="s">
        <v>2</v>
      </c>
      <c r="D147" s="44" t="s">
        <v>4</v>
      </c>
      <c r="E147" s="45"/>
      <c r="F147" s="45"/>
      <c r="G147" s="46"/>
    </row>
    <row r="148" spans="1:7" ht="26.25" x14ac:dyDescent="0.25">
      <c r="A148" s="43"/>
      <c r="B148" s="43"/>
      <c r="C148" s="4" t="s">
        <v>3</v>
      </c>
      <c r="D148" s="4" t="s">
        <v>5</v>
      </c>
      <c r="E148" s="4" t="s">
        <v>6</v>
      </c>
      <c r="F148" s="4" t="s">
        <v>7</v>
      </c>
      <c r="G148" s="4" t="s">
        <v>8</v>
      </c>
    </row>
    <row r="149" spans="1:7" x14ac:dyDescent="0.25">
      <c r="A149" s="5" t="s">
        <v>91</v>
      </c>
      <c r="B149" s="7" t="s">
        <v>92</v>
      </c>
      <c r="C149" s="5">
        <v>180</v>
      </c>
      <c r="D149" s="5">
        <f>C149*29.6/1025</f>
        <v>5.1980487804878051</v>
      </c>
      <c r="E149" s="5">
        <f>C149*32.6/1025</f>
        <v>5.7248780487804876</v>
      </c>
      <c r="F149" s="5">
        <f>C149*184.3/1025</f>
        <v>32.36487804878049</v>
      </c>
      <c r="G149" s="5">
        <f>C149*1149/1025</f>
        <v>201.77560975609757</v>
      </c>
    </row>
    <row r="150" spans="1:7" x14ac:dyDescent="0.25">
      <c r="A150" s="5" t="s">
        <v>87</v>
      </c>
      <c r="B150" s="5" t="s">
        <v>88</v>
      </c>
      <c r="C150" s="5">
        <v>60</v>
      </c>
      <c r="D150" s="5">
        <f>C150*6.9/45</f>
        <v>9.1999999999999993</v>
      </c>
      <c r="E150" s="5">
        <f>C150*9/45</f>
        <v>12</v>
      </c>
      <c r="F150" s="5">
        <f>C150*10/45</f>
        <v>13.333333333333334</v>
      </c>
      <c r="G150" s="5">
        <f>C150*149/45</f>
        <v>198.66666666666666</v>
      </c>
    </row>
    <row r="151" spans="1:7" x14ac:dyDescent="0.25">
      <c r="A151" s="5" t="s">
        <v>75</v>
      </c>
      <c r="B151" s="5" t="s">
        <v>76</v>
      </c>
      <c r="C151" s="5">
        <v>200</v>
      </c>
      <c r="D151" s="5">
        <f>C151*3.3/200</f>
        <v>3.3</v>
      </c>
      <c r="E151" s="5">
        <f>C151*2.9/200</f>
        <v>2.9</v>
      </c>
      <c r="F151" s="5">
        <f>C151*13.8/200</f>
        <v>13.8</v>
      </c>
      <c r="G151" s="5">
        <f>C151*94/200</f>
        <v>94</v>
      </c>
    </row>
    <row r="152" spans="1:7" x14ac:dyDescent="0.25">
      <c r="A152" s="40" t="s">
        <v>70</v>
      </c>
      <c r="B152" s="41"/>
      <c r="C152" s="5">
        <f>SUM(C149:C151)</f>
        <v>440</v>
      </c>
      <c r="D152" s="5">
        <f>SUM(D149:D151)</f>
        <v>17.698048780487806</v>
      </c>
      <c r="E152" s="5">
        <f>SUM(E149:E151)</f>
        <v>20.624878048780488</v>
      </c>
      <c r="F152" s="5">
        <f>SUM(F149:F151)</f>
        <v>59.498211382113823</v>
      </c>
      <c r="G152" s="5">
        <f>SUM(G149:G151)</f>
        <v>494.44227642276422</v>
      </c>
    </row>
    <row r="153" spans="1:7" ht="5.25" customHeight="1" x14ac:dyDescent="0.25">
      <c r="A153" s="25"/>
      <c r="B153" s="25"/>
      <c r="C153" s="25"/>
      <c r="D153" s="25"/>
      <c r="E153" s="25"/>
      <c r="F153" s="25"/>
      <c r="G153" s="25"/>
    </row>
    <row r="154" spans="1:7" ht="15.75" thickBot="1" x14ac:dyDescent="0.3">
      <c r="A154" s="52" t="s">
        <v>109</v>
      </c>
      <c r="B154" s="52"/>
      <c r="C154" s="25"/>
      <c r="D154" s="25"/>
      <c r="E154" s="25"/>
      <c r="F154" s="25"/>
      <c r="G154" s="25"/>
    </row>
    <row r="155" spans="1:7" ht="15.75" thickBot="1" x14ac:dyDescent="0.3">
      <c r="A155" s="42" t="s">
        <v>0</v>
      </c>
      <c r="B155" s="42" t="s">
        <v>1</v>
      </c>
      <c r="C155" s="1" t="s">
        <v>2</v>
      </c>
      <c r="D155" s="44" t="s">
        <v>4</v>
      </c>
      <c r="E155" s="45"/>
      <c r="F155" s="45"/>
      <c r="G155" s="46"/>
    </row>
    <row r="156" spans="1:7" ht="26.25" x14ac:dyDescent="0.25">
      <c r="A156" s="43"/>
      <c r="B156" s="43"/>
      <c r="C156" s="4" t="s">
        <v>3</v>
      </c>
      <c r="D156" s="4" t="s">
        <v>5</v>
      </c>
      <c r="E156" s="4" t="s">
        <v>6</v>
      </c>
      <c r="F156" s="4" t="s">
        <v>7</v>
      </c>
      <c r="G156" s="4" t="s">
        <v>8</v>
      </c>
    </row>
    <row r="157" spans="1:7" x14ac:dyDescent="0.25">
      <c r="A157" s="5" t="s">
        <v>115</v>
      </c>
      <c r="B157" s="5" t="s">
        <v>116</v>
      </c>
      <c r="C157" s="5">
        <v>200</v>
      </c>
      <c r="D157" s="5">
        <f>C157*0.5/100</f>
        <v>1</v>
      </c>
      <c r="E157" s="5">
        <f>C157*0.1/100</f>
        <v>0.2</v>
      </c>
      <c r="F157" s="5">
        <f>C157*10.1/100</f>
        <v>20.2</v>
      </c>
      <c r="G157" s="5">
        <f>C157*43/100</f>
        <v>86</v>
      </c>
    </row>
    <row r="158" spans="1:7" x14ac:dyDescent="0.25">
      <c r="A158" s="40" t="s">
        <v>70</v>
      </c>
      <c r="B158" s="41"/>
      <c r="C158" s="5">
        <v>200</v>
      </c>
      <c r="D158" s="5">
        <f>C158*0.5/100</f>
        <v>1</v>
      </c>
      <c r="E158" s="5">
        <f>C158*0.1/100</f>
        <v>0.2</v>
      </c>
      <c r="F158" s="5">
        <f>C158*10.1/100</f>
        <v>20.2</v>
      </c>
      <c r="G158" s="5">
        <f>C158*43/100</f>
        <v>86</v>
      </c>
    </row>
    <row r="159" spans="1:7" ht="4.5" customHeight="1" x14ac:dyDescent="0.25">
      <c r="A159" s="20"/>
      <c r="B159" s="25"/>
      <c r="C159" s="25"/>
      <c r="D159" s="25"/>
      <c r="E159" s="25"/>
      <c r="F159" s="25"/>
      <c r="G159" s="25"/>
    </row>
    <row r="160" spans="1:7" ht="15.75" thickBot="1" x14ac:dyDescent="0.3">
      <c r="A160" s="6" t="s">
        <v>10</v>
      </c>
      <c r="B160" s="24"/>
      <c r="C160" s="24"/>
      <c r="D160" s="24"/>
      <c r="E160" s="24"/>
      <c r="F160" s="24"/>
      <c r="G160" s="24"/>
    </row>
    <row r="161" spans="1:7" ht="15.75" thickBot="1" x14ac:dyDescent="0.3">
      <c r="A161" s="42" t="s">
        <v>0</v>
      </c>
      <c r="B161" s="42" t="s">
        <v>1</v>
      </c>
      <c r="C161" s="1" t="s">
        <v>2</v>
      </c>
      <c r="D161" s="44" t="s">
        <v>4</v>
      </c>
      <c r="E161" s="45"/>
      <c r="F161" s="45"/>
      <c r="G161" s="46"/>
    </row>
    <row r="162" spans="1:7" ht="26.25" x14ac:dyDescent="0.25">
      <c r="A162" s="43"/>
      <c r="B162" s="43"/>
      <c r="C162" s="4" t="s">
        <v>3</v>
      </c>
      <c r="D162" s="4" t="s">
        <v>5</v>
      </c>
      <c r="E162" s="4" t="s">
        <v>6</v>
      </c>
      <c r="F162" s="4" t="s">
        <v>7</v>
      </c>
      <c r="G162" s="4" t="s">
        <v>8</v>
      </c>
    </row>
    <row r="163" spans="1:7" x14ac:dyDescent="0.25">
      <c r="A163" s="5" t="s">
        <v>63</v>
      </c>
      <c r="B163" s="5" t="s">
        <v>64</v>
      </c>
      <c r="C163" s="5">
        <v>70</v>
      </c>
      <c r="D163" s="5">
        <f>C163*0.7/100</f>
        <v>0.49</v>
      </c>
      <c r="E163" s="5">
        <f>C163*6/100</f>
        <v>4.2</v>
      </c>
      <c r="F163" s="5">
        <f>C163*1.8/100</f>
        <v>1.26</v>
      </c>
      <c r="G163" s="5">
        <f>C163*64/100</f>
        <v>44.8</v>
      </c>
    </row>
    <row r="164" spans="1:7" x14ac:dyDescent="0.25">
      <c r="A164" s="5" t="s">
        <v>52</v>
      </c>
      <c r="B164" s="5" t="s">
        <v>51</v>
      </c>
      <c r="C164" s="5">
        <v>180</v>
      </c>
      <c r="D164" s="5">
        <f>C164*9.3/1000</f>
        <v>1.6740000000000002</v>
      </c>
      <c r="E164" s="5">
        <f>C164*18.9/1000</f>
        <v>3.4019999999999997</v>
      </c>
      <c r="F164" s="5">
        <f>C164*41.3/1000</f>
        <v>7.4339999999999993</v>
      </c>
      <c r="G164" s="5">
        <f>C164*373/1000</f>
        <v>67.14</v>
      </c>
    </row>
    <row r="165" spans="1:7" x14ac:dyDescent="0.25">
      <c r="A165" s="5" t="s">
        <v>127</v>
      </c>
      <c r="B165" s="5" t="s">
        <v>128</v>
      </c>
      <c r="C165" s="5">
        <v>80</v>
      </c>
      <c r="D165" s="5">
        <f>C165*11/100</f>
        <v>8.8000000000000007</v>
      </c>
      <c r="E165" s="5">
        <f>C165*12.4/100</f>
        <v>9.92</v>
      </c>
      <c r="F165" s="5">
        <f>C165*4/100</f>
        <v>3.2</v>
      </c>
      <c r="G165" s="5">
        <f>C165*173/100</f>
        <v>138.4</v>
      </c>
    </row>
    <row r="166" spans="1:7" x14ac:dyDescent="0.25">
      <c r="A166" s="5" t="s">
        <v>57</v>
      </c>
      <c r="B166" s="5" t="s">
        <v>58</v>
      </c>
      <c r="C166" s="5">
        <v>180</v>
      </c>
      <c r="D166" s="5">
        <f>C166*25.1/1000</f>
        <v>4.5179999999999998</v>
      </c>
      <c r="E166" s="5">
        <f>C166*36.2/1000</f>
        <v>6.5160000000000009</v>
      </c>
      <c r="F166" s="5">
        <f>C166*259/1000</f>
        <v>46.62</v>
      </c>
      <c r="G166" s="5">
        <f>C166*1462/1000</f>
        <v>263.16000000000003</v>
      </c>
    </row>
    <row r="167" spans="1:7" x14ac:dyDescent="0.25">
      <c r="A167" s="5" t="s">
        <v>13</v>
      </c>
      <c r="B167" s="5" t="s">
        <v>14</v>
      </c>
      <c r="C167" s="5">
        <v>200</v>
      </c>
      <c r="D167" s="5">
        <v>0.6</v>
      </c>
      <c r="E167" s="5">
        <v>0.1</v>
      </c>
      <c r="F167" s="5">
        <v>20.100000000000001</v>
      </c>
      <c r="G167" s="5">
        <v>84</v>
      </c>
    </row>
    <row r="168" spans="1:7" x14ac:dyDescent="0.25">
      <c r="A168" s="5" t="s">
        <v>53</v>
      </c>
      <c r="B168" s="5" t="s">
        <v>54</v>
      </c>
      <c r="C168" s="5">
        <v>50</v>
      </c>
      <c r="D168" s="5">
        <f>C168*7.6/100</f>
        <v>3.8</v>
      </c>
      <c r="E168" s="5">
        <f>C168*0.8/100</f>
        <v>0.4</v>
      </c>
      <c r="F168" s="5">
        <f>C168*49.2/100</f>
        <v>24.6</v>
      </c>
      <c r="G168" s="5">
        <f>C168*234/100</f>
        <v>117</v>
      </c>
    </row>
    <row r="169" spans="1:7" x14ac:dyDescent="0.25">
      <c r="A169" s="5" t="s">
        <v>15</v>
      </c>
      <c r="B169" s="5" t="s">
        <v>16</v>
      </c>
      <c r="C169" s="5">
        <v>50</v>
      </c>
      <c r="D169" s="5">
        <f>C169*8/100</f>
        <v>4</v>
      </c>
      <c r="E169" s="5">
        <f>C169*1.5/100</f>
        <v>0.75</v>
      </c>
      <c r="F169" s="5">
        <f>C169*40.1/100</f>
        <v>20.05</v>
      </c>
      <c r="G169" s="5">
        <f>C169*206/100</f>
        <v>103</v>
      </c>
    </row>
    <row r="170" spans="1:7" x14ac:dyDescent="0.25">
      <c r="A170" s="40" t="s">
        <v>17</v>
      </c>
      <c r="B170" s="41"/>
      <c r="C170" s="5">
        <f>SUM(C163:C169)</f>
        <v>810</v>
      </c>
      <c r="D170" s="5">
        <f>SUM(D163:D169)</f>
        <v>23.882000000000001</v>
      </c>
      <c r="E170" s="5">
        <f>SUM(E163:E169)</f>
        <v>25.288</v>
      </c>
      <c r="F170" s="5">
        <f>SUM(F163:F169)</f>
        <v>123.264</v>
      </c>
      <c r="G170" s="5">
        <f>SUM(G163:G169)</f>
        <v>817.5</v>
      </c>
    </row>
    <row r="171" spans="1:7" ht="4.5" customHeight="1" x14ac:dyDescent="0.25">
      <c r="A171" s="25"/>
      <c r="B171" s="22"/>
      <c r="C171" s="25"/>
      <c r="D171" s="25"/>
      <c r="E171" s="25"/>
      <c r="F171" s="25"/>
      <c r="G171" s="25"/>
    </row>
    <row r="172" spans="1:7" ht="15.75" thickBot="1" x14ac:dyDescent="0.3">
      <c r="A172" s="29" t="s">
        <v>110</v>
      </c>
      <c r="B172" s="25"/>
      <c r="C172" s="25"/>
      <c r="D172" s="25"/>
      <c r="E172" s="25"/>
      <c r="F172" s="25"/>
      <c r="G172" s="25"/>
    </row>
    <row r="173" spans="1:7" ht="15.75" thickBot="1" x14ac:dyDescent="0.3">
      <c r="A173" s="42" t="s">
        <v>0</v>
      </c>
      <c r="B173" s="42" t="s">
        <v>1</v>
      </c>
      <c r="C173" s="1" t="s">
        <v>2</v>
      </c>
      <c r="D173" s="44" t="s">
        <v>4</v>
      </c>
      <c r="E173" s="45"/>
      <c r="F173" s="45"/>
      <c r="G173" s="46"/>
    </row>
    <row r="174" spans="1:7" ht="26.25" x14ac:dyDescent="0.25">
      <c r="A174" s="43"/>
      <c r="B174" s="43"/>
      <c r="C174" s="4" t="s">
        <v>3</v>
      </c>
      <c r="D174" s="4" t="s">
        <v>5</v>
      </c>
      <c r="E174" s="4" t="s">
        <v>6</v>
      </c>
      <c r="F174" s="4" t="s">
        <v>7</v>
      </c>
      <c r="G174" s="4" t="s">
        <v>8</v>
      </c>
    </row>
    <row r="175" spans="1:7" x14ac:dyDescent="0.25">
      <c r="A175" s="5" t="s">
        <v>125</v>
      </c>
      <c r="B175" s="5" t="s">
        <v>126</v>
      </c>
      <c r="C175" s="5">
        <v>165</v>
      </c>
      <c r="D175" s="5">
        <v>12.6</v>
      </c>
      <c r="E175" s="5">
        <v>19.600000000000001</v>
      </c>
      <c r="F175" s="5">
        <v>50.6</v>
      </c>
      <c r="G175" s="5">
        <v>429</v>
      </c>
    </row>
    <row r="176" spans="1:7" x14ac:dyDescent="0.25">
      <c r="A176" s="5" t="s">
        <v>13</v>
      </c>
      <c r="B176" s="5" t="s">
        <v>14</v>
      </c>
      <c r="C176" s="5">
        <v>200</v>
      </c>
      <c r="D176" s="5">
        <v>0.6</v>
      </c>
      <c r="E176" s="5">
        <v>0.1</v>
      </c>
      <c r="F176" s="5">
        <v>20.100000000000001</v>
      </c>
      <c r="G176" s="5">
        <v>84</v>
      </c>
    </row>
    <row r="177" spans="1:7" x14ac:dyDescent="0.25">
      <c r="A177" s="40" t="s">
        <v>70</v>
      </c>
      <c r="B177" s="41"/>
      <c r="C177" s="5">
        <f>SUM(C175:C176)</f>
        <v>365</v>
      </c>
      <c r="D177" s="5">
        <f>SUM(D175:D176)</f>
        <v>13.2</v>
      </c>
      <c r="E177" s="5">
        <f>SUM(E175:E176)</f>
        <v>19.700000000000003</v>
      </c>
      <c r="F177" s="5">
        <f>SUM(F175:F176)</f>
        <v>70.7</v>
      </c>
      <c r="G177" s="5">
        <f>SUM(G175:G176)</f>
        <v>513</v>
      </c>
    </row>
    <row r="178" spans="1:7" ht="34.5" customHeight="1" x14ac:dyDescent="0.25">
      <c r="A178" s="25"/>
      <c r="B178" s="22"/>
      <c r="C178" s="25"/>
      <c r="D178" s="25"/>
      <c r="E178" s="25"/>
      <c r="F178" s="25"/>
      <c r="G178" s="25"/>
    </row>
    <row r="179" spans="1:7" x14ac:dyDescent="0.25">
      <c r="A179" s="51" t="s">
        <v>67</v>
      </c>
      <c r="B179" s="51"/>
      <c r="C179" s="5">
        <f>C152+C158+C170+C177</f>
        <v>1815</v>
      </c>
      <c r="D179" s="5">
        <f>D152+D158+D170+D177</f>
        <v>55.780048780487803</v>
      </c>
      <c r="E179" s="5">
        <f>E152+E158+E170+E177</f>
        <v>65.81287804878049</v>
      </c>
      <c r="F179" s="5">
        <f>F152+F158+F170+F177</f>
        <v>273.66221138211381</v>
      </c>
      <c r="G179" s="5">
        <f>G152+G158+G170+G177</f>
        <v>1910.9422764227643</v>
      </c>
    </row>
    <row r="180" spans="1:7" x14ac:dyDescent="0.25">
      <c r="A180" s="2" t="s">
        <v>40</v>
      </c>
      <c r="B180" s="24"/>
      <c r="C180" s="24"/>
      <c r="D180" s="24"/>
      <c r="E180" s="24"/>
      <c r="F180" s="24"/>
      <c r="G180" s="24"/>
    </row>
    <row r="181" spans="1:7" ht="15.75" thickBot="1" x14ac:dyDescent="0.3">
      <c r="A181" s="17" t="s">
        <v>69</v>
      </c>
      <c r="B181" s="2"/>
      <c r="C181" s="2"/>
      <c r="D181" s="2"/>
      <c r="E181" s="2"/>
      <c r="F181" s="2"/>
      <c r="G181" s="2"/>
    </row>
    <row r="182" spans="1:7" ht="15.75" thickBot="1" x14ac:dyDescent="0.3">
      <c r="A182" s="42" t="s">
        <v>0</v>
      </c>
      <c r="B182" s="42" t="s">
        <v>1</v>
      </c>
      <c r="C182" s="1" t="s">
        <v>2</v>
      </c>
      <c r="D182" s="44" t="s">
        <v>4</v>
      </c>
      <c r="E182" s="45"/>
      <c r="F182" s="45"/>
      <c r="G182" s="46"/>
    </row>
    <row r="183" spans="1:7" ht="26.25" x14ac:dyDescent="0.25">
      <c r="A183" s="43"/>
      <c r="B183" s="43"/>
      <c r="C183" s="4" t="s">
        <v>3</v>
      </c>
      <c r="D183" s="4" t="s">
        <v>5</v>
      </c>
      <c r="E183" s="4" t="s">
        <v>6</v>
      </c>
      <c r="F183" s="4" t="s">
        <v>7</v>
      </c>
      <c r="G183" s="4" t="s">
        <v>8</v>
      </c>
    </row>
    <row r="184" spans="1:7" x14ac:dyDescent="0.25">
      <c r="A184" s="5" t="s">
        <v>93</v>
      </c>
      <c r="B184" s="7" t="s">
        <v>94</v>
      </c>
      <c r="C184" s="5">
        <v>180</v>
      </c>
      <c r="D184" s="5">
        <f>C184*31.1/1025</f>
        <v>5.4614634146341468</v>
      </c>
      <c r="E184" s="5">
        <f>C184*33/1025</f>
        <v>5.795121951219512</v>
      </c>
      <c r="F184" s="5">
        <f>C184*156.2/1025</f>
        <v>27.43024390243902</v>
      </c>
      <c r="G184" s="5">
        <f>C184*1045/1025</f>
        <v>183.51219512195121</v>
      </c>
    </row>
    <row r="185" spans="1:7" x14ac:dyDescent="0.25">
      <c r="A185" s="5" t="s">
        <v>73</v>
      </c>
      <c r="B185" s="5" t="s">
        <v>74</v>
      </c>
      <c r="C185" s="5">
        <v>40</v>
      </c>
      <c r="D185" s="5">
        <f>C185*1.6/35</f>
        <v>1.8285714285714285</v>
      </c>
      <c r="E185" s="5">
        <f>C185*11/35</f>
        <v>12.571428571428571</v>
      </c>
      <c r="F185" s="5">
        <f>C185*10/35</f>
        <v>11.428571428571429</v>
      </c>
      <c r="G185" s="5">
        <f>C185*146/35</f>
        <v>166.85714285714286</v>
      </c>
    </row>
    <row r="186" spans="1:7" x14ac:dyDescent="0.25">
      <c r="A186" s="5" t="s">
        <v>75</v>
      </c>
      <c r="B186" s="5" t="s">
        <v>76</v>
      </c>
      <c r="C186" s="5">
        <v>200</v>
      </c>
      <c r="D186" s="5">
        <f>C186*3.3/200</f>
        <v>3.3</v>
      </c>
      <c r="E186" s="5">
        <f>C186*2.9/200</f>
        <v>2.9</v>
      </c>
      <c r="F186" s="5">
        <f>C186*13.8/200</f>
        <v>13.8</v>
      </c>
      <c r="G186" s="5">
        <f>C186*94/200</f>
        <v>94</v>
      </c>
    </row>
    <row r="187" spans="1:7" x14ac:dyDescent="0.25">
      <c r="A187" s="40" t="s">
        <v>70</v>
      </c>
      <c r="B187" s="41"/>
      <c r="C187" s="5">
        <f>SUM(C184:C186)</f>
        <v>420</v>
      </c>
      <c r="D187" s="5">
        <f>SUM(D184:D186)</f>
        <v>10.590034843205576</v>
      </c>
      <c r="E187" s="5">
        <f>SUM(E184:E186)</f>
        <v>21.266550522648082</v>
      </c>
      <c r="F187" s="5">
        <f>SUM(F184:F186)</f>
        <v>52.658815331010445</v>
      </c>
      <c r="G187" s="5">
        <f>SUM(G184:G186)</f>
        <v>444.3693379790941</v>
      </c>
    </row>
    <row r="188" spans="1:7" ht="6.75" customHeight="1" x14ac:dyDescent="0.25">
      <c r="A188" s="9"/>
      <c r="B188" s="9"/>
      <c r="C188" s="9"/>
      <c r="D188" s="9"/>
      <c r="E188" s="9"/>
      <c r="F188" s="9"/>
      <c r="G188" s="9"/>
    </row>
    <row r="189" spans="1:7" ht="15.75" thickBot="1" x14ac:dyDescent="0.3">
      <c r="A189" s="52" t="s">
        <v>109</v>
      </c>
      <c r="B189" s="52"/>
      <c r="C189" s="25"/>
      <c r="D189" s="25"/>
      <c r="E189" s="25"/>
      <c r="F189" s="25"/>
      <c r="G189" s="25"/>
    </row>
    <row r="190" spans="1:7" ht="15.75" thickBot="1" x14ac:dyDescent="0.3">
      <c r="A190" s="42" t="s">
        <v>0</v>
      </c>
      <c r="B190" s="42" t="s">
        <v>1</v>
      </c>
      <c r="C190" s="1" t="s">
        <v>2</v>
      </c>
      <c r="D190" s="44" t="s">
        <v>4</v>
      </c>
      <c r="E190" s="45"/>
      <c r="F190" s="45"/>
      <c r="G190" s="46"/>
    </row>
    <row r="191" spans="1:7" ht="26.25" x14ac:dyDescent="0.25">
      <c r="A191" s="43"/>
      <c r="B191" s="43"/>
      <c r="C191" s="4" t="s">
        <v>3</v>
      </c>
      <c r="D191" s="4" t="s">
        <v>5</v>
      </c>
      <c r="E191" s="4" t="s">
        <v>6</v>
      </c>
      <c r="F191" s="4" t="s">
        <v>7</v>
      </c>
      <c r="G191" s="4" t="s">
        <v>8</v>
      </c>
    </row>
    <row r="192" spans="1:7" x14ac:dyDescent="0.25">
      <c r="A192" s="5" t="s">
        <v>21</v>
      </c>
      <c r="B192" s="5" t="s">
        <v>20</v>
      </c>
      <c r="C192" s="5">
        <v>100</v>
      </c>
      <c r="D192" s="5">
        <f>C192*0.4/100</f>
        <v>0.4</v>
      </c>
      <c r="E192" s="5">
        <f>C192*0.4/100</f>
        <v>0.4</v>
      </c>
      <c r="F192" s="5">
        <f>C192*9.8/100</f>
        <v>9.8000000000000007</v>
      </c>
      <c r="G192" s="5">
        <f>C192*44/100</f>
        <v>44</v>
      </c>
    </row>
    <row r="193" spans="1:7" x14ac:dyDescent="0.25">
      <c r="A193" s="40" t="s">
        <v>70</v>
      </c>
      <c r="B193" s="41"/>
      <c r="C193" s="5">
        <v>100</v>
      </c>
      <c r="D193" s="5">
        <f>C193*0.4/100</f>
        <v>0.4</v>
      </c>
      <c r="E193" s="5">
        <f>C193*0.4/100</f>
        <v>0.4</v>
      </c>
      <c r="F193" s="5">
        <f>C193*9.8/100</f>
        <v>9.8000000000000007</v>
      </c>
      <c r="G193" s="5">
        <f>C193*44/100</f>
        <v>44</v>
      </c>
    </row>
    <row r="194" spans="1:7" ht="4.5" customHeight="1" x14ac:dyDescent="0.25">
      <c r="A194" s="9"/>
      <c r="B194" s="9"/>
      <c r="C194" s="9"/>
      <c r="D194" s="9"/>
      <c r="E194" s="9"/>
      <c r="F194" s="9"/>
      <c r="G194" s="9"/>
    </row>
    <row r="195" spans="1:7" ht="15.75" thickBot="1" x14ac:dyDescent="0.3">
      <c r="A195" s="6" t="s">
        <v>10</v>
      </c>
      <c r="B195" s="24"/>
      <c r="C195" s="24"/>
      <c r="D195" s="24"/>
      <c r="E195" s="24"/>
      <c r="F195" s="24"/>
      <c r="G195" s="24"/>
    </row>
    <row r="196" spans="1:7" ht="15.75" thickBot="1" x14ac:dyDescent="0.3">
      <c r="A196" s="42" t="s">
        <v>0</v>
      </c>
      <c r="B196" s="42" t="s">
        <v>1</v>
      </c>
      <c r="C196" s="1" t="s">
        <v>2</v>
      </c>
      <c r="D196" s="44" t="s">
        <v>4</v>
      </c>
      <c r="E196" s="45"/>
      <c r="F196" s="45"/>
      <c r="G196" s="46"/>
    </row>
    <row r="197" spans="1:7" ht="26.25" x14ac:dyDescent="0.25">
      <c r="A197" s="43"/>
      <c r="B197" s="43"/>
      <c r="C197" s="4" t="s">
        <v>3</v>
      </c>
      <c r="D197" s="4" t="s">
        <v>5</v>
      </c>
      <c r="E197" s="4" t="s">
        <v>6</v>
      </c>
      <c r="F197" s="4" t="s">
        <v>7</v>
      </c>
      <c r="G197" s="4" t="s">
        <v>8</v>
      </c>
    </row>
    <row r="198" spans="1:7" ht="30" x14ac:dyDescent="0.25">
      <c r="A198" s="5" t="s">
        <v>26</v>
      </c>
      <c r="B198" s="7" t="s">
        <v>27</v>
      </c>
      <c r="C198" s="5">
        <v>180</v>
      </c>
      <c r="D198" s="5">
        <f>C198*11.6/1000</f>
        <v>2.0880000000000001</v>
      </c>
      <c r="E198" s="5">
        <f>C198*16.6/1000</f>
        <v>2.9880000000000004</v>
      </c>
      <c r="F198" s="5">
        <f>C198*48.8/1000</f>
        <v>8.7840000000000007</v>
      </c>
      <c r="G198" s="5">
        <f>C198*391/1000</f>
        <v>70.38</v>
      </c>
    </row>
    <row r="199" spans="1:7" x14ac:dyDescent="0.25">
      <c r="A199" s="5" t="s">
        <v>28</v>
      </c>
      <c r="B199" s="5" t="s">
        <v>29</v>
      </c>
      <c r="C199" s="5">
        <v>200</v>
      </c>
      <c r="D199" s="5">
        <f>C199*21/200</f>
        <v>21</v>
      </c>
      <c r="E199" s="5">
        <f>C199*19/200</f>
        <v>19</v>
      </c>
      <c r="F199" s="5">
        <f>C199*15.9/200</f>
        <v>15.9</v>
      </c>
      <c r="G199" s="5">
        <f>C199*319/200</f>
        <v>319</v>
      </c>
    </row>
    <row r="200" spans="1:7" x14ac:dyDescent="0.25">
      <c r="A200" s="5" t="s">
        <v>22</v>
      </c>
      <c r="B200" s="5" t="s">
        <v>19</v>
      </c>
      <c r="C200" s="5">
        <v>200</v>
      </c>
      <c r="D200" s="5">
        <f>C200*0.2/200</f>
        <v>0.2</v>
      </c>
      <c r="E200" s="5">
        <f>C200*0.1/200</f>
        <v>0.1</v>
      </c>
      <c r="F200" s="5">
        <f>C200*9.3/200</f>
        <v>9.3000000000000007</v>
      </c>
      <c r="G200" s="5">
        <f>C200*38/200</f>
        <v>38</v>
      </c>
    </row>
    <row r="201" spans="1:7" x14ac:dyDescent="0.25">
      <c r="A201" s="5" t="s">
        <v>53</v>
      </c>
      <c r="B201" s="5" t="s">
        <v>54</v>
      </c>
      <c r="C201" s="5">
        <v>50</v>
      </c>
      <c r="D201" s="5">
        <f>C201*7.6/100</f>
        <v>3.8</v>
      </c>
      <c r="E201" s="5">
        <f>C201*0.8/100</f>
        <v>0.4</v>
      </c>
      <c r="F201" s="5">
        <f>C201*49.2/100</f>
        <v>24.6</v>
      </c>
      <c r="G201" s="5">
        <f>C201*234/100</f>
        <v>117</v>
      </c>
    </row>
    <row r="202" spans="1:7" x14ac:dyDescent="0.25">
      <c r="A202" s="5" t="s">
        <v>15</v>
      </c>
      <c r="B202" s="5" t="s">
        <v>16</v>
      </c>
      <c r="C202" s="5">
        <v>50</v>
      </c>
      <c r="D202" s="5">
        <f>C202*8/100</f>
        <v>4</v>
      </c>
      <c r="E202" s="5">
        <f>C202*1.5/100</f>
        <v>0.75</v>
      </c>
      <c r="F202" s="5">
        <f>C202*40.1/100</f>
        <v>20.05</v>
      </c>
      <c r="G202" s="5">
        <f>C202*206/100</f>
        <v>103</v>
      </c>
    </row>
    <row r="203" spans="1:7" x14ac:dyDescent="0.25">
      <c r="A203" s="5" t="s">
        <v>21</v>
      </c>
      <c r="B203" s="5" t="s">
        <v>20</v>
      </c>
      <c r="C203" s="5">
        <v>100</v>
      </c>
      <c r="D203" s="5">
        <f>C203*0.4/100</f>
        <v>0.4</v>
      </c>
      <c r="E203" s="5">
        <f>C203*0.4/100</f>
        <v>0.4</v>
      </c>
      <c r="F203" s="5">
        <f>C203*9.8/100</f>
        <v>9.8000000000000007</v>
      </c>
      <c r="G203" s="5">
        <f>C203*44/100</f>
        <v>44</v>
      </c>
    </row>
    <row r="204" spans="1:7" x14ac:dyDescent="0.25">
      <c r="A204" s="40" t="s">
        <v>17</v>
      </c>
      <c r="B204" s="41"/>
      <c r="C204" s="5">
        <f>SUM(C198:C203)</f>
        <v>780</v>
      </c>
      <c r="D204" s="5">
        <f>SUM(D198:D203)</f>
        <v>31.488</v>
      </c>
      <c r="E204" s="5">
        <f>SUM(E198:E203)</f>
        <v>23.637999999999998</v>
      </c>
      <c r="F204" s="5">
        <f>SUM(F198:F203)</f>
        <v>88.433999999999997</v>
      </c>
      <c r="G204" s="5">
        <f>SUM(G198:G203)</f>
        <v>691.38</v>
      </c>
    </row>
    <row r="205" spans="1:7" ht="6.75" customHeight="1" x14ac:dyDescent="0.25">
      <c r="A205" s="9"/>
      <c r="B205" s="9"/>
      <c r="C205" s="9"/>
      <c r="D205" s="9"/>
      <c r="E205" s="9"/>
      <c r="F205" s="9"/>
      <c r="G205" s="9"/>
    </row>
    <row r="206" spans="1:7" ht="12" customHeight="1" thickBot="1" x14ac:dyDescent="0.3">
      <c r="A206" s="52" t="s">
        <v>110</v>
      </c>
      <c r="B206" s="52"/>
      <c r="C206" s="25"/>
      <c r="D206" s="25"/>
      <c r="E206" s="25"/>
      <c r="F206" s="25"/>
      <c r="G206" s="25"/>
    </row>
    <row r="207" spans="1:7" ht="15.75" thickBot="1" x14ac:dyDescent="0.3">
      <c r="A207" s="42" t="s">
        <v>0</v>
      </c>
      <c r="B207" s="42" t="s">
        <v>1</v>
      </c>
      <c r="C207" s="1" t="s">
        <v>2</v>
      </c>
      <c r="D207" s="44" t="s">
        <v>4</v>
      </c>
      <c r="E207" s="45"/>
      <c r="F207" s="45"/>
      <c r="G207" s="46"/>
    </row>
    <row r="208" spans="1:7" ht="26.25" x14ac:dyDescent="0.25">
      <c r="A208" s="43"/>
      <c r="B208" s="43"/>
      <c r="C208" s="4" t="s">
        <v>3</v>
      </c>
      <c r="D208" s="4" t="s">
        <v>5</v>
      </c>
      <c r="E208" s="4" t="s">
        <v>6</v>
      </c>
      <c r="F208" s="4" t="s">
        <v>7</v>
      </c>
      <c r="G208" s="4" t="s">
        <v>8</v>
      </c>
    </row>
    <row r="209" spans="1:7" x14ac:dyDescent="0.25">
      <c r="A209" s="5" t="s">
        <v>111</v>
      </c>
      <c r="B209" s="5" t="s">
        <v>112</v>
      </c>
      <c r="C209" s="5">
        <v>120</v>
      </c>
      <c r="D209" s="5">
        <f>C209*12/160</f>
        <v>9</v>
      </c>
      <c r="E209" s="5">
        <f>C209*15/160</f>
        <v>11.25</v>
      </c>
      <c r="F209" s="5">
        <f>C209*60.6/160</f>
        <v>45.45</v>
      </c>
      <c r="G209" s="5">
        <f>C209*429/160</f>
        <v>321.75</v>
      </c>
    </row>
    <row r="210" spans="1:7" x14ac:dyDescent="0.25">
      <c r="A210" s="5" t="s">
        <v>22</v>
      </c>
      <c r="B210" s="5" t="s">
        <v>19</v>
      </c>
      <c r="C210" s="5">
        <v>200</v>
      </c>
      <c r="D210" s="5">
        <f>C210*0.2/200</f>
        <v>0.2</v>
      </c>
      <c r="E210" s="5">
        <f>C210*0.1/200</f>
        <v>0.1</v>
      </c>
      <c r="F210" s="5">
        <f>C210*9.3/200</f>
        <v>9.3000000000000007</v>
      </c>
      <c r="G210" s="5">
        <f>C210*38/200</f>
        <v>38</v>
      </c>
    </row>
    <row r="211" spans="1:7" x14ac:dyDescent="0.25">
      <c r="A211" s="40" t="s">
        <v>70</v>
      </c>
      <c r="B211" s="41"/>
      <c r="C211" s="5">
        <f>SUM(C209:C210)</f>
        <v>320</v>
      </c>
      <c r="D211" s="5">
        <f>SUM(D209:D210)</f>
        <v>9.1999999999999993</v>
      </c>
      <c r="E211" s="5">
        <f>SUM(E209:E210)</f>
        <v>11.35</v>
      </c>
      <c r="F211" s="5">
        <f>SUM(F209:F210)</f>
        <v>54.75</v>
      </c>
      <c r="G211" s="5">
        <f>SUM(G209:G210)</f>
        <v>359.75</v>
      </c>
    </row>
    <row r="212" spans="1:7" ht="27" customHeight="1" x14ac:dyDescent="0.25">
      <c r="A212" s="25"/>
      <c r="B212" s="25"/>
      <c r="C212" s="25"/>
      <c r="D212" s="25"/>
      <c r="E212" s="25"/>
      <c r="F212" s="25"/>
      <c r="G212" s="25"/>
    </row>
    <row r="213" spans="1:7" x14ac:dyDescent="0.25">
      <c r="A213" s="51" t="s">
        <v>67</v>
      </c>
      <c r="B213" s="51"/>
      <c r="C213" s="5">
        <f>C187+C193+C204+C211</f>
        <v>1620</v>
      </c>
      <c r="D213" s="5">
        <f>D187+D193+D204+D211</f>
        <v>51.67803484320558</v>
      </c>
      <c r="E213" s="5">
        <f>E187+E193+E204+E211</f>
        <v>56.65455052264808</v>
      </c>
      <c r="F213" s="5">
        <f>F187+F193+F204+F211</f>
        <v>205.64281533101044</v>
      </c>
      <c r="G213" s="5">
        <f>G187+G193+G204+G211</f>
        <v>1539.499337979094</v>
      </c>
    </row>
    <row r="214" spans="1:7" x14ac:dyDescent="0.25">
      <c r="A214" s="2" t="s">
        <v>43</v>
      </c>
      <c r="B214" s="24"/>
      <c r="C214" s="24"/>
      <c r="D214" s="24"/>
      <c r="E214" s="24"/>
      <c r="F214" s="24"/>
      <c r="G214" s="24"/>
    </row>
    <row r="215" spans="1:7" ht="15.75" thickBot="1" x14ac:dyDescent="0.3">
      <c r="A215" s="17" t="s">
        <v>69</v>
      </c>
      <c r="B215" s="2"/>
      <c r="C215" s="2"/>
      <c r="D215" s="2"/>
      <c r="E215" s="2"/>
      <c r="F215" s="2"/>
      <c r="G215" s="2"/>
    </row>
    <row r="216" spans="1:7" ht="15.75" thickBot="1" x14ac:dyDescent="0.3">
      <c r="A216" s="42" t="s">
        <v>0</v>
      </c>
      <c r="B216" s="42" t="s">
        <v>1</v>
      </c>
      <c r="C216" s="1" t="s">
        <v>2</v>
      </c>
      <c r="D216" s="44" t="s">
        <v>4</v>
      </c>
      <c r="E216" s="45"/>
      <c r="F216" s="45"/>
      <c r="G216" s="46"/>
    </row>
    <row r="217" spans="1:7" ht="26.25" x14ac:dyDescent="0.25">
      <c r="A217" s="43"/>
      <c r="B217" s="43"/>
      <c r="C217" s="4" t="s">
        <v>3</v>
      </c>
      <c r="D217" s="4" t="s">
        <v>5</v>
      </c>
      <c r="E217" s="4" t="s">
        <v>6</v>
      </c>
      <c r="F217" s="4" t="s">
        <v>7</v>
      </c>
      <c r="G217" s="4" t="s">
        <v>8</v>
      </c>
    </row>
    <row r="218" spans="1:7" x14ac:dyDescent="0.25">
      <c r="A218" s="5" t="s">
        <v>95</v>
      </c>
      <c r="B218" s="5" t="s">
        <v>96</v>
      </c>
      <c r="C218" s="5">
        <v>180</v>
      </c>
      <c r="D218" s="5">
        <f>C218*24/1000</f>
        <v>4.32</v>
      </c>
      <c r="E218" s="5">
        <f>C218*25/1000</f>
        <v>4.5</v>
      </c>
      <c r="F218" s="5">
        <f>C218*82.2/1000</f>
        <v>14.795999999999999</v>
      </c>
      <c r="G218" s="5">
        <f>C218*650/1000</f>
        <v>117</v>
      </c>
    </row>
    <row r="219" spans="1:7" x14ac:dyDescent="0.25">
      <c r="A219" s="5" t="s">
        <v>87</v>
      </c>
      <c r="B219" s="5" t="s">
        <v>88</v>
      </c>
      <c r="C219" s="5">
        <v>40</v>
      </c>
      <c r="D219" s="5">
        <f>C219*6.9/45</f>
        <v>6.1333333333333337</v>
      </c>
      <c r="E219" s="5">
        <f>C219*9/45</f>
        <v>8</v>
      </c>
      <c r="F219" s="5">
        <f>C219*10/45</f>
        <v>8.8888888888888893</v>
      </c>
      <c r="G219" s="5">
        <f>C219*149/45</f>
        <v>132.44444444444446</v>
      </c>
    </row>
    <row r="220" spans="1:7" x14ac:dyDescent="0.25">
      <c r="A220" s="5" t="s">
        <v>22</v>
      </c>
      <c r="B220" s="5" t="s">
        <v>19</v>
      </c>
      <c r="C220" s="5">
        <v>200</v>
      </c>
      <c r="D220" s="5">
        <f>C220*0.2/200</f>
        <v>0.2</v>
      </c>
      <c r="E220" s="5">
        <f>C220*0.1/200</f>
        <v>0.1</v>
      </c>
      <c r="F220" s="5">
        <f>C220*9.3/200</f>
        <v>9.3000000000000007</v>
      </c>
      <c r="G220" s="5">
        <f>C220*38/200</f>
        <v>38</v>
      </c>
    </row>
    <row r="221" spans="1:7" x14ac:dyDescent="0.25">
      <c r="A221" s="40" t="s">
        <v>70</v>
      </c>
      <c r="B221" s="41"/>
      <c r="C221" s="5">
        <f>SUM(C218:C220)</f>
        <v>420</v>
      </c>
      <c r="D221" s="5">
        <f>SUM(D218:D220)</f>
        <v>10.653333333333332</v>
      </c>
      <c r="E221" s="5">
        <f>SUM(E218:E220)</f>
        <v>12.6</v>
      </c>
      <c r="F221" s="5">
        <f>SUM(F218:F220)</f>
        <v>32.984888888888889</v>
      </c>
      <c r="G221" s="5">
        <f>SUM(G218:G220)</f>
        <v>287.44444444444446</v>
      </c>
    </row>
    <row r="222" spans="1:7" ht="3" customHeight="1" x14ac:dyDescent="0.25">
      <c r="A222" s="9"/>
      <c r="B222" s="9"/>
      <c r="C222" s="9"/>
      <c r="D222" s="9"/>
      <c r="E222" s="9"/>
      <c r="F222" s="9"/>
      <c r="G222" s="9"/>
    </row>
    <row r="223" spans="1:7" ht="15.75" thickBot="1" x14ac:dyDescent="0.3">
      <c r="A223" s="52" t="s">
        <v>109</v>
      </c>
      <c r="B223" s="52"/>
      <c r="C223" s="25"/>
      <c r="D223" s="25"/>
      <c r="E223" s="25"/>
      <c r="F223" s="25"/>
      <c r="G223" s="25"/>
    </row>
    <row r="224" spans="1:7" ht="15.75" thickBot="1" x14ac:dyDescent="0.3">
      <c r="A224" s="42" t="s">
        <v>0</v>
      </c>
      <c r="B224" s="42" t="s">
        <v>1</v>
      </c>
      <c r="C224" s="1" t="s">
        <v>2</v>
      </c>
      <c r="D224" s="44" t="s">
        <v>4</v>
      </c>
      <c r="E224" s="45"/>
      <c r="F224" s="45"/>
      <c r="G224" s="46"/>
    </row>
    <row r="225" spans="1:7" ht="26.25" x14ac:dyDescent="0.25">
      <c r="A225" s="43"/>
      <c r="B225" s="43"/>
      <c r="C225" s="4" t="s">
        <v>3</v>
      </c>
      <c r="D225" s="4" t="s">
        <v>5</v>
      </c>
      <c r="E225" s="4" t="s">
        <v>6</v>
      </c>
      <c r="F225" s="4" t="s">
        <v>7</v>
      </c>
      <c r="G225" s="4" t="s">
        <v>8</v>
      </c>
    </row>
    <row r="226" spans="1:7" x14ac:dyDescent="0.25">
      <c r="A226" s="5" t="s">
        <v>115</v>
      </c>
      <c r="B226" s="5" t="s">
        <v>116</v>
      </c>
      <c r="C226" s="5">
        <v>200</v>
      </c>
      <c r="D226" s="5">
        <f>C226*0.5/100</f>
        <v>1</v>
      </c>
      <c r="E226" s="5">
        <f>C226*0.1/100</f>
        <v>0.2</v>
      </c>
      <c r="F226" s="5">
        <f>C226*10.1/100</f>
        <v>20.2</v>
      </c>
      <c r="G226" s="5">
        <f>C226*43/100</f>
        <v>86</v>
      </c>
    </row>
    <row r="227" spans="1:7" x14ac:dyDescent="0.25">
      <c r="A227" s="40" t="s">
        <v>70</v>
      </c>
      <c r="B227" s="41"/>
      <c r="C227" s="5">
        <v>200</v>
      </c>
      <c r="D227" s="5">
        <f>C227*0.5/100</f>
        <v>1</v>
      </c>
      <c r="E227" s="5">
        <f>C227*0.1/100</f>
        <v>0.2</v>
      </c>
      <c r="F227" s="5">
        <f>C227*10.1/100</f>
        <v>20.2</v>
      </c>
      <c r="G227" s="5">
        <f>C227*43/100</f>
        <v>86</v>
      </c>
    </row>
    <row r="228" spans="1:7" ht="4.5" customHeight="1" x14ac:dyDescent="0.25">
      <c r="A228" s="19"/>
      <c r="B228" s="25"/>
      <c r="C228" s="25"/>
      <c r="D228" s="25"/>
      <c r="E228" s="25"/>
      <c r="F228" s="25"/>
      <c r="G228" s="25"/>
    </row>
    <row r="229" spans="1:7" ht="13.5" customHeight="1" thickBot="1" x14ac:dyDescent="0.3">
      <c r="A229" s="6" t="s">
        <v>10</v>
      </c>
      <c r="B229" s="24"/>
      <c r="C229" s="24"/>
      <c r="D229" s="24"/>
      <c r="E229" s="24"/>
      <c r="F229" s="24"/>
      <c r="G229" s="24"/>
    </row>
    <row r="230" spans="1:7" ht="15.75" thickBot="1" x14ac:dyDescent="0.3">
      <c r="A230" s="42" t="s">
        <v>0</v>
      </c>
      <c r="B230" s="42" t="s">
        <v>1</v>
      </c>
      <c r="C230" s="1" t="s">
        <v>2</v>
      </c>
      <c r="D230" s="44" t="s">
        <v>4</v>
      </c>
      <c r="E230" s="45"/>
      <c r="F230" s="45"/>
      <c r="G230" s="46"/>
    </row>
    <row r="231" spans="1:7" ht="26.25" x14ac:dyDescent="0.25">
      <c r="A231" s="43"/>
      <c r="B231" s="43"/>
      <c r="C231" s="4" t="s">
        <v>3</v>
      </c>
      <c r="D231" s="4" t="s">
        <v>5</v>
      </c>
      <c r="E231" s="4" t="s">
        <v>6</v>
      </c>
      <c r="F231" s="4" t="s">
        <v>7</v>
      </c>
      <c r="G231" s="4" t="s">
        <v>8</v>
      </c>
    </row>
    <row r="232" spans="1:7" x14ac:dyDescent="0.25">
      <c r="A232" s="5" t="s">
        <v>11</v>
      </c>
      <c r="B232" s="5" t="s">
        <v>12</v>
      </c>
      <c r="C232" s="5">
        <v>180</v>
      </c>
      <c r="D232" s="5">
        <f>C232*6/1000</f>
        <v>1.08</v>
      </c>
      <c r="E232" s="5">
        <f>C232*18/1000</f>
        <v>3.24</v>
      </c>
      <c r="F232" s="5">
        <f>C232*15.2/1000</f>
        <v>2.7360000000000002</v>
      </c>
      <c r="G232" s="5">
        <f>C232*247/1000</f>
        <v>44.46</v>
      </c>
    </row>
    <row r="233" spans="1:7" x14ac:dyDescent="0.25">
      <c r="A233" s="5" t="s">
        <v>55</v>
      </c>
      <c r="B233" s="5" t="s">
        <v>56</v>
      </c>
      <c r="C233" s="5">
        <v>70</v>
      </c>
      <c r="D233" s="5">
        <f>C233*17.3/100</f>
        <v>12.11</v>
      </c>
      <c r="E233" s="5">
        <f>C233*21/100</f>
        <v>14.7</v>
      </c>
      <c r="F233" s="5">
        <f>C233*9.9/100</f>
        <v>6.93</v>
      </c>
      <c r="G233" s="5">
        <f>C233*298/100</f>
        <v>208.6</v>
      </c>
    </row>
    <row r="234" spans="1:7" x14ac:dyDescent="0.25">
      <c r="A234" s="5" t="s">
        <v>33</v>
      </c>
      <c r="B234" s="5" t="s">
        <v>34</v>
      </c>
      <c r="C234" s="5">
        <v>150</v>
      </c>
      <c r="D234" s="5">
        <f>C234*2.7/100</f>
        <v>4.05</v>
      </c>
      <c r="E234" s="5">
        <f>C234*4/100</f>
        <v>6</v>
      </c>
      <c r="F234" s="5">
        <f>C234*5.8/100</f>
        <v>8.6999999999999993</v>
      </c>
      <c r="G234" s="5">
        <f>C234*70/100</f>
        <v>105</v>
      </c>
    </row>
    <row r="235" spans="1:7" x14ac:dyDescent="0.25">
      <c r="A235" s="5" t="s">
        <v>13</v>
      </c>
      <c r="B235" s="5" t="s">
        <v>14</v>
      </c>
      <c r="C235" s="5">
        <v>200</v>
      </c>
      <c r="D235" s="5">
        <f>C235*0.6/200</f>
        <v>0.6</v>
      </c>
      <c r="E235" s="5">
        <f>C235*0.1/200</f>
        <v>0.1</v>
      </c>
      <c r="F235" s="5">
        <f>C235*20.1/200</f>
        <v>20.100000000000001</v>
      </c>
      <c r="G235" s="5">
        <f>C235*84/200</f>
        <v>84</v>
      </c>
    </row>
    <row r="236" spans="1:7" x14ac:dyDescent="0.25">
      <c r="A236" s="5" t="s">
        <v>53</v>
      </c>
      <c r="B236" s="5" t="s">
        <v>54</v>
      </c>
      <c r="C236" s="5">
        <v>50</v>
      </c>
      <c r="D236" s="5">
        <f>C236*7.6/100</f>
        <v>3.8</v>
      </c>
      <c r="E236" s="5">
        <f>C236*0.8/100</f>
        <v>0.4</v>
      </c>
      <c r="F236" s="5">
        <f>C236*49.2/100</f>
        <v>24.6</v>
      </c>
      <c r="G236" s="5">
        <f>C236*234/100</f>
        <v>117</v>
      </c>
    </row>
    <row r="237" spans="1:7" x14ac:dyDescent="0.25">
      <c r="A237" s="11" t="s">
        <v>15</v>
      </c>
      <c r="B237" s="11" t="s">
        <v>16</v>
      </c>
      <c r="C237" s="11">
        <v>50</v>
      </c>
      <c r="D237" s="11">
        <f>C237*8/100</f>
        <v>4</v>
      </c>
      <c r="E237" s="11">
        <f>C237*1.5/100</f>
        <v>0.75</v>
      </c>
      <c r="F237" s="11">
        <f>C237*40.1/100</f>
        <v>20.05</v>
      </c>
      <c r="G237" s="11">
        <f>C237*206/100</f>
        <v>103</v>
      </c>
    </row>
    <row r="238" spans="1:7" x14ac:dyDescent="0.25">
      <c r="A238" s="5" t="s">
        <v>21</v>
      </c>
      <c r="B238" s="5" t="s">
        <v>20</v>
      </c>
      <c r="C238" s="5">
        <v>100</v>
      </c>
      <c r="D238" s="5">
        <f>C238*0.4/100</f>
        <v>0.4</v>
      </c>
      <c r="E238" s="5">
        <f>C238*0.4/100</f>
        <v>0.4</v>
      </c>
      <c r="F238" s="23">
        <f>C238*9.8/100</f>
        <v>9.8000000000000007</v>
      </c>
      <c r="G238" s="5">
        <f>C238*44/100</f>
        <v>44</v>
      </c>
    </row>
    <row r="239" spans="1:7" x14ac:dyDescent="0.25">
      <c r="A239" s="40" t="s">
        <v>17</v>
      </c>
      <c r="B239" s="41"/>
      <c r="C239" s="12">
        <f>SUM(C232:C238)</f>
        <v>800</v>
      </c>
      <c r="D239" s="12">
        <f>SUM(D232:D238)</f>
        <v>26.04</v>
      </c>
      <c r="E239" s="12">
        <f>SUM(E232:E238)</f>
        <v>25.589999999999996</v>
      </c>
      <c r="F239" s="12">
        <f>SUM(F232:F238)</f>
        <v>92.915999999999997</v>
      </c>
      <c r="G239" s="12">
        <f>SUM(G232:G238)</f>
        <v>706.06</v>
      </c>
    </row>
    <row r="240" spans="1:7" ht="5.25" customHeight="1" x14ac:dyDescent="0.25">
      <c r="A240" s="25"/>
      <c r="B240" s="25"/>
      <c r="C240" s="25"/>
      <c r="D240" s="25"/>
      <c r="E240" s="25"/>
      <c r="F240" s="25"/>
      <c r="G240" s="25"/>
    </row>
    <row r="241" spans="1:7" ht="12" customHeight="1" thickBot="1" x14ac:dyDescent="0.3">
      <c r="A241" s="52" t="s">
        <v>110</v>
      </c>
      <c r="B241" s="52"/>
      <c r="C241" s="26"/>
      <c r="D241" s="49"/>
      <c r="E241" s="49"/>
      <c r="F241" s="49"/>
      <c r="G241" s="49"/>
    </row>
    <row r="242" spans="1:7" ht="15.75" thickBot="1" x14ac:dyDescent="0.3">
      <c r="A242" s="42" t="s">
        <v>0</v>
      </c>
      <c r="B242" s="42" t="s">
        <v>1</v>
      </c>
      <c r="C242" s="1" t="s">
        <v>2</v>
      </c>
      <c r="D242" s="44" t="s">
        <v>4</v>
      </c>
      <c r="E242" s="45"/>
      <c r="F242" s="45"/>
      <c r="G242" s="46"/>
    </row>
    <row r="243" spans="1:7" ht="26.25" x14ac:dyDescent="0.25">
      <c r="A243" s="43"/>
      <c r="B243" s="43"/>
      <c r="C243" s="4" t="s">
        <v>3</v>
      </c>
      <c r="D243" s="4" t="s">
        <v>5</v>
      </c>
      <c r="E243" s="4" t="s">
        <v>6</v>
      </c>
      <c r="F243" s="4" t="s">
        <v>7</v>
      </c>
      <c r="G243" s="4" t="s">
        <v>8</v>
      </c>
    </row>
    <row r="244" spans="1:7" x14ac:dyDescent="0.25">
      <c r="A244" s="5" t="s">
        <v>113</v>
      </c>
      <c r="B244" s="5" t="s">
        <v>114</v>
      </c>
      <c r="C244" s="5">
        <v>50</v>
      </c>
      <c r="D244" s="5">
        <f>C244*7.5/100</f>
        <v>3.75</v>
      </c>
      <c r="E244" s="5">
        <f>C244*9.8/100</f>
        <v>4.9000000000000004</v>
      </c>
      <c r="F244" s="5">
        <f>C244*74.4/100</f>
        <v>37.200000000000003</v>
      </c>
      <c r="G244" s="5">
        <f>C244*415/100</f>
        <v>207.5</v>
      </c>
    </row>
    <row r="245" spans="1:7" x14ac:dyDescent="0.25">
      <c r="A245" s="5" t="s">
        <v>13</v>
      </c>
      <c r="B245" s="5" t="s">
        <v>14</v>
      </c>
      <c r="C245" s="5">
        <v>200</v>
      </c>
      <c r="D245" s="5">
        <f>C245*0.6/200</f>
        <v>0.6</v>
      </c>
      <c r="E245" s="5">
        <f>C245*0.1/200</f>
        <v>0.1</v>
      </c>
      <c r="F245" s="5">
        <f>C245*20.1/200</f>
        <v>20.100000000000001</v>
      </c>
      <c r="G245" s="5">
        <f>C245*84/200</f>
        <v>84</v>
      </c>
    </row>
    <row r="246" spans="1:7" x14ac:dyDescent="0.25">
      <c r="A246" s="40" t="s">
        <v>70</v>
      </c>
      <c r="B246" s="41"/>
      <c r="C246" s="5">
        <f>SUM(C244:C245)</f>
        <v>250</v>
      </c>
      <c r="D246" s="5">
        <f>SUM(D244:D245)</f>
        <v>4.3499999999999996</v>
      </c>
      <c r="E246" s="5">
        <f>SUM(E244:E245)</f>
        <v>5</v>
      </c>
      <c r="F246" s="5">
        <f>SUM(F244:F245)</f>
        <v>57.300000000000004</v>
      </c>
      <c r="G246" s="5">
        <f>SUM(G244:G245)</f>
        <v>291.5</v>
      </c>
    </row>
    <row r="247" spans="1:7" ht="27.75" customHeight="1" x14ac:dyDescent="0.25">
      <c r="A247" s="19"/>
      <c r="B247" s="25"/>
      <c r="C247" s="25"/>
      <c r="D247" s="25"/>
      <c r="E247" s="25"/>
      <c r="F247" s="25"/>
      <c r="G247" s="25"/>
    </row>
    <row r="248" spans="1:7" x14ac:dyDescent="0.25">
      <c r="A248" s="51" t="s">
        <v>67</v>
      </c>
      <c r="B248" s="51"/>
      <c r="C248" s="5">
        <f>C221+C227+C239+C246</f>
        <v>1670</v>
      </c>
      <c r="D248" s="5">
        <f>D221+D227+D239+D246</f>
        <v>42.043333333333329</v>
      </c>
      <c r="E248" s="5">
        <f>E221+E227+E239+E246</f>
        <v>43.389999999999993</v>
      </c>
      <c r="F248" s="5">
        <f>F221+F227+F239+F246</f>
        <v>203.40088888888891</v>
      </c>
      <c r="G248" s="5">
        <f>G221+G227+G239+G246</f>
        <v>1371.0044444444443</v>
      </c>
    </row>
    <row r="249" spans="1:7" x14ac:dyDescent="0.25">
      <c r="A249" s="36"/>
      <c r="B249" s="36"/>
      <c r="C249" s="36"/>
      <c r="D249" s="36"/>
      <c r="E249" s="36"/>
      <c r="F249" s="36"/>
      <c r="G249" s="36"/>
    </row>
    <row r="250" spans="1:7" x14ac:dyDescent="0.25">
      <c r="A250" s="2" t="s">
        <v>44</v>
      </c>
      <c r="B250" s="24"/>
      <c r="C250" s="24"/>
      <c r="D250" s="24"/>
      <c r="E250" s="24"/>
      <c r="F250" s="24"/>
      <c r="G250" s="24"/>
    </row>
    <row r="251" spans="1:7" ht="12.75" customHeight="1" thickBot="1" x14ac:dyDescent="0.3">
      <c r="A251" s="17" t="s">
        <v>69</v>
      </c>
      <c r="B251" s="2"/>
      <c r="C251" s="2"/>
      <c r="D251" s="2"/>
      <c r="E251" s="2"/>
      <c r="F251" s="2"/>
      <c r="G251" s="2"/>
    </row>
    <row r="252" spans="1:7" ht="15.75" thickBot="1" x14ac:dyDescent="0.3">
      <c r="A252" s="42" t="s">
        <v>0</v>
      </c>
      <c r="B252" s="42" t="s">
        <v>1</v>
      </c>
      <c r="C252" s="1" t="s">
        <v>2</v>
      </c>
      <c r="D252" s="44" t="s">
        <v>4</v>
      </c>
      <c r="E252" s="45"/>
      <c r="F252" s="45"/>
      <c r="G252" s="46"/>
    </row>
    <row r="253" spans="1:7" ht="26.25" x14ac:dyDescent="0.25">
      <c r="A253" s="43"/>
      <c r="B253" s="43"/>
      <c r="C253" s="4" t="s">
        <v>3</v>
      </c>
      <c r="D253" s="4" t="s">
        <v>5</v>
      </c>
      <c r="E253" s="4" t="s">
        <v>6</v>
      </c>
      <c r="F253" s="4" t="s">
        <v>7</v>
      </c>
      <c r="G253" s="4" t="s">
        <v>8</v>
      </c>
    </row>
    <row r="254" spans="1:7" x14ac:dyDescent="0.25">
      <c r="A254" s="5" t="s">
        <v>85</v>
      </c>
      <c r="B254" s="7" t="s">
        <v>86</v>
      </c>
      <c r="C254" s="5">
        <v>180</v>
      </c>
      <c r="D254" s="5">
        <f>C254*26/1025</f>
        <v>4.565853658536585</v>
      </c>
      <c r="E254" s="5">
        <f>C254*33/1025</f>
        <v>5.795121951219512</v>
      </c>
      <c r="F254" s="5">
        <f>C254*138/1025</f>
        <v>24.234146341463415</v>
      </c>
      <c r="G254" s="5">
        <f>C254*953/1025</f>
        <v>167.3560975609756</v>
      </c>
    </row>
    <row r="255" spans="1:7" x14ac:dyDescent="0.25">
      <c r="A255" s="5" t="s">
        <v>73</v>
      </c>
      <c r="B255" s="5" t="s">
        <v>74</v>
      </c>
      <c r="C255" s="5">
        <v>40</v>
      </c>
      <c r="D255" s="5">
        <f>C255*1.6/35</f>
        <v>1.8285714285714285</v>
      </c>
      <c r="E255" s="5">
        <f>C255*11/35</f>
        <v>12.571428571428571</v>
      </c>
      <c r="F255" s="5">
        <f>C255*10/35</f>
        <v>11.428571428571429</v>
      </c>
      <c r="G255" s="5">
        <f>C255*146/35</f>
        <v>166.85714285714286</v>
      </c>
    </row>
    <row r="256" spans="1:7" x14ac:dyDescent="0.25">
      <c r="A256" s="5" t="s">
        <v>98</v>
      </c>
      <c r="B256" s="5" t="s">
        <v>97</v>
      </c>
      <c r="C256" s="5">
        <v>200</v>
      </c>
      <c r="D256" s="5">
        <f>C256*0.3/200</f>
        <v>0.3</v>
      </c>
      <c r="E256" s="5">
        <f>C256*0.1/200</f>
        <v>0.1</v>
      </c>
      <c r="F256" s="5">
        <f>C256*9.5/200</f>
        <v>9.5</v>
      </c>
      <c r="G256" s="5">
        <f>C256*40/200</f>
        <v>40</v>
      </c>
    </row>
    <row r="257" spans="1:7" x14ac:dyDescent="0.25">
      <c r="A257" s="40" t="s">
        <v>70</v>
      </c>
      <c r="B257" s="41"/>
      <c r="C257" s="5">
        <f>SUM(C254:C256)</f>
        <v>420</v>
      </c>
      <c r="D257" s="5">
        <f>SUM(D254:D256)</f>
        <v>6.6944250871080131</v>
      </c>
      <c r="E257" s="5">
        <f>SUM(E254:E256)</f>
        <v>18.466550522648085</v>
      </c>
      <c r="F257" s="5">
        <f>SUM(F254:F256)</f>
        <v>45.162717770034845</v>
      </c>
      <c r="G257" s="5">
        <f>SUM(G254:G256)</f>
        <v>374.21324041811846</v>
      </c>
    </row>
    <row r="258" spans="1:7" ht="6" customHeight="1" x14ac:dyDescent="0.25">
      <c r="A258" s="9"/>
      <c r="B258" s="9"/>
      <c r="C258" s="9"/>
      <c r="D258" s="9"/>
      <c r="E258" s="9"/>
      <c r="F258" s="9"/>
      <c r="G258" s="9"/>
    </row>
    <row r="259" spans="1:7" ht="15.75" thickBot="1" x14ac:dyDescent="0.3">
      <c r="A259" s="52" t="s">
        <v>109</v>
      </c>
      <c r="B259" s="52"/>
      <c r="C259" s="25"/>
      <c r="D259" s="25"/>
      <c r="E259" s="25"/>
      <c r="F259" s="25"/>
      <c r="G259" s="25"/>
    </row>
    <row r="260" spans="1:7" ht="15.75" thickBot="1" x14ac:dyDescent="0.3">
      <c r="A260" s="42" t="s">
        <v>0</v>
      </c>
      <c r="B260" s="42" t="s">
        <v>1</v>
      </c>
      <c r="C260" s="1" t="s">
        <v>2</v>
      </c>
      <c r="D260" s="44" t="s">
        <v>4</v>
      </c>
      <c r="E260" s="45"/>
      <c r="F260" s="45"/>
      <c r="G260" s="46"/>
    </row>
    <row r="261" spans="1:7" ht="26.25" x14ac:dyDescent="0.25">
      <c r="A261" s="43"/>
      <c r="B261" s="43"/>
      <c r="C261" s="4" t="s">
        <v>3</v>
      </c>
      <c r="D261" s="4" t="s">
        <v>5</v>
      </c>
      <c r="E261" s="4" t="s">
        <v>6</v>
      </c>
      <c r="F261" s="4" t="s">
        <v>7</v>
      </c>
      <c r="G261" s="4" t="s">
        <v>8</v>
      </c>
    </row>
    <row r="262" spans="1:7" x14ac:dyDescent="0.25">
      <c r="A262" s="5" t="s">
        <v>21</v>
      </c>
      <c r="B262" s="5" t="s">
        <v>20</v>
      </c>
      <c r="C262" s="5">
        <v>100</v>
      </c>
      <c r="D262" s="5">
        <f>C262*0.4/100</f>
        <v>0.4</v>
      </c>
      <c r="E262" s="5">
        <f>C262*0.4/100</f>
        <v>0.4</v>
      </c>
      <c r="F262" s="5">
        <f>C262*9.8/100</f>
        <v>9.8000000000000007</v>
      </c>
      <c r="G262" s="5">
        <f>C262*44/100</f>
        <v>44</v>
      </c>
    </row>
    <row r="263" spans="1:7" x14ac:dyDescent="0.25">
      <c r="A263" s="40" t="s">
        <v>70</v>
      </c>
      <c r="B263" s="41"/>
      <c r="C263" s="5">
        <v>100</v>
      </c>
      <c r="D263" s="5">
        <f>C263*0.4/100</f>
        <v>0.4</v>
      </c>
      <c r="E263" s="5">
        <f>C263*0.4/100</f>
        <v>0.4</v>
      </c>
      <c r="F263" s="5">
        <f>C263*9.8/100</f>
        <v>9.8000000000000007</v>
      </c>
      <c r="G263" s="5">
        <f>C263*44/100</f>
        <v>44</v>
      </c>
    </row>
    <row r="264" spans="1:7" ht="5.25" customHeight="1" x14ac:dyDescent="0.25">
      <c r="A264" s="25"/>
      <c r="B264" s="25"/>
      <c r="C264" s="25"/>
      <c r="D264" s="25"/>
      <c r="E264" s="25"/>
      <c r="F264" s="25"/>
      <c r="G264" s="25"/>
    </row>
    <row r="265" spans="1:7" ht="15.75" thickBot="1" x14ac:dyDescent="0.3">
      <c r="A265" s="6" t="s">
        <v>10</v>
      </c>
      <c r="B265" s="24"/>
      <c r="C265" s="24"/>
      <c r="D265" s="24"/>
      <c r="E265" s="24"/>
      <c r="F265" s="24"/>
      <c r="G265" s="24"/>
    </row>
    <row r="266" spans="1:7" ht="15.75" thickBot="1" x14ac:dyDescent="0.3">
      <c r="A266" s="42" t="s">
        <v>0</v>
      </c>
      <c r="B266" s="42" t="s">
        <v>1</v>
      </c>
      <c r="C266" s="1" t="s">
        <v>2</v>
      </c>
      <c r="D266" s="44" t="s">
        <v>4</v>
      </c>
      <c r="E266" s="45"/>
      <c r="F266" s="45"/>
      <c r="G266" s="46"/>
    </row>
    <row r="267" spans="1:7" ht="26.25" x14ac:dyDescent="0.25">
      <c r="A267" s="43"/>
      <c r="B267" s="43"/>
      <c r="C267" s="4" t="s">
        <v>3</v>
      </c>
      <c r="D267" s="4" t="s">
        <v>5</v>
      </c>
      <c r="E267" s="4" t="s">
        <v>6</v>
      </c>
      <c r="F267" s="4" t="s">
        <v>7</v>
      </c>
      <c r="G267" s="4" t="s">
        <v>8</v>
      </c>
    </row>
    <row r="268" spans="1:7" x14ac:dyDescent="0.25">
      <c r="A268" s="5" t="s">
        <v>105</v>
      </c>
      <c r="B268" s="5" t="s">
        <v>106</v>
      </c>
      <c r="C268" s="5">
        <v>70</v>
      </c>
      <c r="D268" s="5">
        <f>C268*1.4/100</f>
        <v>0.98</v>
      </c>
      <c r="E268" s="5">
        <f>C268*6.1/100</f>
        <v>4.2699999999999996</v>
      </c>
      <c r="F268" s="5">
        <f>C268*7.6/100</f>
        <v>5.32</v>
      </c>
      <c r="G268" s="5">
        <f>C268*91/100</f>
        <v>63.7</v>
      </c>
    </row>
    <row r="269" spans="1:7" x14ac:dyDescent="0.25">
      <c r="A269" s="5" t="s">
        <v>23</v>
      </c>
      <c r="B269" s="5" t="s">
        <v>24</v>
      </c>
      <c r="C269" s="5">
        <v>200</v>
      </c>
      <c r="D269" s="5">
        <v>1.48</v>
      </c>
      <c r="E269" s="5">
        <v>3.54</v>
      </c>
      <c r="F269" s="5">
        <v>5.56</v>
      </c>
      <c r="G269" s="5">
        <v>60</v>
      </c>
    </row>
    <row r="270" spans="1:7" x14ac:dyDescent="0.25">
      <c r="A270" s="5" t="s">
        <v>135</v>
      </c>
      <c r="B270" s="5" t="s">
        <v>134</v>
      </c>
      <c r="C270" s="5">
        <v>70</v>
      </c>
      <c r="D270" s="5">
        <v>10.5</v>
      </c>
      <c r="E270" s="5">
        <v>17.100000000000001</v>
      </c>
      <c r="F270" s="5">
        <v>0.2</v>
      </c>
      <c r="G270" s="5">
        <v>197</v>
      </c>
    </row>
    <row r="271" spans="1:7" x14ac:dyDescent="0.25">
      <c r="A271" s="5" t="s">
        <v>39</v>
      </c>
      <c r="B271" s="5" t="s">
        <v>37</v>
      </c>
      <c r="C271" s="5">
        <v>150</v>
      </c>
      <c r="D271" s="5">
        <f>C271*3.7/100</f>
        <v>5.55</v>
      </c>
      <c r="E271" s="5">
        <f>C271*3.3/100</f>
        <v>4.95</v>
      </c>
      <c r="F271" s="5">
        <f>C271*19.7/100</f>
        <v>29.55</v>
      </c>
      <c r="G271" s="5">
        <f>C271*123/100</f>
        <v>184.5</v>
      </c>
    </row>
    <row r="272" spans="1:7" x14ac:dyDescent="0.25">
      <c r="A272" s="5" t="s">
        <v>22</v>
      </c>
      <c r="B272" s="5" t="s">
        <v>19</v>
      </c>
      <c r="C272" s="5">
        <v>200</v>
      </c>
      <c r="D272" s="5">
        <f>C272*0.2/200</f>
        <v>0.2</v>
      </c>
      <c r="E272" s="5">
        <f>C272*0.1/200</f>
        <v>0.1</v>
      </c>
      <c r="F272" s="5">
        <f>C272*9.3/200</f>
        <v>9.3000000000000007</v>
      </c>
      <c r="G272" s="5">
        <f>C272*38/200</f>
        <v>38</v>
      </c>
    </row>
    <row r="273" spans="1:7" x14ac:dyDescent="0.25">
      <c r="A273" s="5" t="s">
        <v>53</v>
      </c>
      <c r="B273" s="5" t="s">
        <v>54</v>
      </c>
      <c r="C273" s="5">
        <v>50</v>
      </c>
      <c r="D273" s="5">
        <f>C273*7.6/100</f>
        <v>3.8</v>
      </c>
      <c r="E273" s="5">
        <f>C273*0.8/100</f>
        <v>0.4</v>
      </c>
      <c r="F273" s="5">
        <f>C273*49.2/100</f>
        <v>24.6</v>
      </c>
      <c r="G273" s="5">
        <f>C273*234/100</f>
        <v>117</v>
      </c>
    </row>
    <row r="274" spans="1:7" x14ac:dyDescent="0.25">
      <c r="A274" s="11" t="s">
        <v>15</v>
      </c>
      <c r="B274" s="11" t="s">
        <v>16</v>
      </c>
      <c r="C274" s="11">
        <v>50</v>
      </c>
      <c r="D274" s="11">
        <f>C274*8/100</f>
        <v>4</v>
      </c>
      <c r="E274" s="11">
        <f>C274*1.5/100</f>
        <v>0.75</v>
      </c>
      <c r="F274" s="11">
        <f>C274*40.1/100</f>
        <v>20.05</v>
      </c>
      <c r="G274" s="11">
        <f>C274*206/100</f>
        <v>103</v>
      </c>
    </row>
    <row r="275" spans="1:7" x14ac:dyDescent="0.25">
      <c r="A275" s="40" t="s">
        <v>17</v>
      </c>
      <c r="B275" s="41"/>
      <c r="C275" s="5">
        <f>SUM(C268:C274)</f>
        <v>790</v>
      </c>
      <c r="D275" s="5">
        <f>SUM(D268:D274)</f>
        <v>26.51</v>
      </c>
      <c r="E275" s="5">
        <f>SUM(E268:E274)</f>
        <v>31.11</v>
      </c>
      <c r="F275" s="5">
        <f>SUM(F268:F274)</f>
        <v>94.58</v>
      </c>
      <c r="G275" s="5">
        <f>SUM(G268:G274)</f>
        <v>763.2</v>
      </c>
    </row>
    <row r="276" spans="1:7" ht="4.5" customHeight="1" x14ac:dyDescent="0.25">
      <c r="A276" s="25"/>
      <c r="B276" s="25"/>
      <c r="C276" s="25"/>
      <c r="D276" s="25"/>
      <c r="E276" s="25"/>
      <c r="F276" s="25"/>
      <c r="G276" s="25"/>
    </row>
    <row r="277" spans="1:7" ht="15.75" thickBot="1" x14ac:dyDescent="0.3">
      <c r="A277" s="52" t="s">
        <v>110</v>
      </c>
      <c r="B277" s="52"/>
      <c r="C277" s="25"/>
      <c r="D277" s="25"/>
      <c r="E277" s="25"/>
      <c r="F277" s="25"/>
      <c r="G277" s="25"/>
    </row>
    <row r="278" spans="1:7" ht="15.75" thickBot="1" x14ac:dyDescent="0.3">
      <c r="A278" s="42" t="s">
        <v>0</v>
      </c>
      <c r="B278" s="42" t="s">
        <v>1</v>
      </c>
      <c r="C278" s="1" t="s">
        <v>2</v>
      </c>
      <c r="D278" s="44" t="s">
        <v>4</v>
      </c>
      <c r="E278" s="45"/>
      <c r="F278" s="45"/>
      <c r="G278" s="46"/>
    </row>
    <row r="279" spans="1:7" ht="26.25" x14ac:dyDescent="0.25">
      <c r="A279" s="43"/>
      <c r="B279" s="43"/>
      <c r="C279" s="4" t="s">
        <v>3</v>
      </c>
      <c r="D279" s="4" t="s">
        <v>5</v>
      </c>
      <c r="E279" s="4" t="s">
        <v>6</v>
      </c>
      <c r="F279" s="4" t="s">
        <v>7</v>
      </c>
      <c r="G279" s="4" t="s">
        <v>8</v>
      </c>
    </row>
    <row r="280" spans="1:7" x14ac:dyDescent="0.25">
      <c r="A280" s="5" t="s">
        <v>121</v>
      </c>
      <c r="B280" s="5" t="s">
        <v>120</v>
      </c>
      <c r="C280" s="5">
        <v>60</v>
      </c>
      <c r="D280" s="5">
        <f>C280*5.3/60</f>
        <v>5.3</v>
      </c>
      <c r="E280" s="5">
        <f>C280*4.7/60</f>
        <v>4.7</v>
      </c>
      <c r="F280" s="5">
        <f>C280*28.8/60</f>
        <v>28.8</v>
      </c>
      <c r="G280" s="5">
        <f>C280*179/60</f>
        <v>179</v>
      </c>
    </row>
    <row r="281" spans="1:7" x14ac:dyDescent="0.25">
      <c r="A281" s="5" t="s">
        <v>22</v>
      </c>
      <c r="B281" s="5" t="s">
        <v>19</v>
      </c>
      <c r="C281" s="5">
        <v>200</v>
      </c>
      <c r="D281" s="5">
        <f>C281*0.2/200</f>
        <v>0.2</v>
      </c>
      <c r="E281" s="5">
        <f>C281*0.1/200</f>
        <v>0.1</v>
      </c>
      <c r="F281" s="5">
        <f>C281*9.3/200</f>
        <v>9.3000000000000007</v>
      </c>
      <c r="G281" s="5">
        <f>C281*38/200</f>
        <v>38</v>
      </c>
    </row>
    <row r="282" spans="1:7" x14ac:dyDescent="0.25">
      <c r="A282" s="40" t="s">
        <v>70</v>
      </c>
      <c r="B282" s="41"/>
      <c r="C282" s="5">
        <f>SUM(C280:C281)</f>
        <v>260</v>
      </c>
      <c r="D282" s="5">
        <f>SUM(D280:D281)</f>
        <v>5.5</v>
      </c>
      <c r="E282" s="5">
        <f>SUM(E280:E281)</f>
        <v>4.8</v>
      </c>
      <c r="F282" s="5">
        <f>SUM(F280:F281)</f>
        <v>38.1</v>
      </c>
      <c r="G282" s="5">
        <f>SUM(G280:G281)</f>
        <v>217</v>
      </c>
    </row>
    <row r="283" spans="1:7" ht="36.75" customHeight="1" x14ac:dyDescent="0.25">
      <c r="A283" s="25"/>
      <c r="B283" s="25"/>
      <c r="C283" s="25"/>
      <c r="D283" s="25"/>
      <c r="E283" s="25"/>
      <c r="F283" s="25"/>
      <c r="G283" s="25"/>
    </row>
    <row r="284" spans="1:7" x14ac:dyDescent="0.25">
      <c r="A284" s="51" t="s">
        <v>67</v>
      </c>
      <c r="B284" s="51"/>
      <c r="C284" s="5">
        <f>C257+C263+C275+C282</f>
        <v>1570</v>
      </c>
      <c r="D284" s="5">
        <f>D257+D263+D275+D282</f>
        <v>39.104425087108012</v>
      </c>
      <c r="E284" s="5">
        <f>E257+E263+E275+E282</f>
        <v>54.77655052264808</v>
      </c>
      <c r="F284" s="5">
        <f>F257+F263+F275+F282</f>
        <v>187.64271777003484</v>
      </c>
      <c r="G284" s="5">
        <f>G257+G263+G275+G282</f>
        <v>1398.4132404181184</v>
      </c>
    </row>
    <row r="285" spans="1:7" ht="12" customHeight="1" x14ac:dyDescent="0.25">
      <c r="A285" s="2" t="s">
        <v>47</v>
      </c>
      <c r="B285" s="24"/>
      <c r="C285" s="24"/>
      <c r="D285" s="24"/>
      <c r="E285" s="24"/>
      <c r="F285" s="24"/>
      <c r="G285" s="24"/>
    </row>
    <row r="286" spans="1:7" ht="14.25" customHeight="1" thickBot="1" x14ac:dyDescent="0.3">
      <c r="A286" s="17" t="s">
        <v>69</v>
      </c>
      <c r="B286" s="2"/>
      <c r="C286" s="2"/>
      <c r="D286" s="2"/>
      <c r="E286" s="2"/>
      <c r="F286" s="2"/>
      <c r="G286" s="2"/>
    </row>
    <row r="287" spans="1:7" ht="15.75" thickBot="1" x14ac:dyDescent="0.3">
      <c r="A287" s="42" t="s">
        <v>0</v>
      </c>
      <c r="B287" s="42" t="s">
        <v>1</v>
      </c>
      <c r="C287" s="1" t="s">
        <v>2</v>
      </c>
      <c r="D287" s="44" t="s">
        <v>4</v>
      </c>
      <c r="E287" s="45"/>
      <c r="F287" s="45"/>
      <c r="G287" s="46"/>
    </row>
    <row r="288" spans="1:7" ht="26.25" x14ac:dyDescent="0.25">
      <c r="A288" s="43"/>
      <c r="B288" s="43"/>
      <c r="C288" s="4" t="s">
        <v>3</v>
      </c>
      <c r="D288" s="4" t="s">
        <v>5</v>
      </c>
      <c r="E288" s="4" t="s">
        <v>6</v>
      </c>
      <c r="F288" s="4" t="s">
        <v>7</v>
      </c>
      <c r="G288" s="4" t="s">
        <v>8</v>
      </c>
    </row>
    <row r="289" spans="1:7" ht="30" x14ac:dyDescent="0.25">
      <c r="A289" s="5" t="s">
        <v>99</v>
      </c>
      <c r="B289" s="7" t="s">
        <v>100</v>
      </c>
      <c r="C289" s="5">
        <v>200</v>
      </c>
      <c r="D289" s="5">
        <f>C289*35.8/1025</f>
        <v>6.9853658536585357</v>
      </c>
      <c r="E289" s="5">
        <f>C289*42.4/1025</f>
        <v>8.2731707317073173</v>
      </c>
      <c r="F289" s="5">
        <f>C289*145.7/1025</f>
        <v>28.429268292682924</v>
      </c>
      <c r="G289" s="5">
        <f>C289*1108/1025</f>
        <v>216.19512195121951</v>
      </c>
    </row>
    <row r="290" spans="1:7" x14ac:dyDescent="0.25">
      <c r="A290" s="5" t="s">
        <v>81</v>
      </c>
      <c r="B290" s="5" t="s">
        <v>82</v>
      </c>
      <c r="C290" s="5">
        <v>65</v>
      </c>
      <c r="D290" s="5">
        <f>C290*1.6/45</f>
        <v>2.3111111111111109</v>
      </c>
      <c r="E290" s="5">
        <f>C290*3.8/45</f>
        <v>5.4888888888888889</v>
      </c>
      <c r="F290" s="5">
        <f>C290*23.4/45</f>
        <v>33.799999999999997</v>
      </c>
      <c r="G290" s="5">
        <f>C290*134/45</f>
        <v>193.55555555555554</v>
      </c>
    </row>
    <row r="291" spans="1:7" x14ac:dyDescent="0.25">
      <c r="A291" s="5" t="s">
        <v>75</v>
      </c>
      <c r="B291" s="5" t="s">
        <v>76</v>
      </c>
      <c r="C291" s="5">
        <v>200</v>
      </c>
      <c r="D291" s="5">
        <f>C291*3.3/200</f>
        <v>3.3</v>
      </c>
      <c r="E291" s="5">
        <f>C291*2.9/200</f>
        <v>2.9</v>
      </c>
      <c r="F291" s="5">
        <f>C291*13.8/200</f>
        <v>13.8</v>
      </c>
      <c r="G291" s="5">
        <f>C291*94/200</f>
        <v>94</v>
      </c>
    </row>
    <row r="292" spans="1:7" ht="14.25" customHeight="1" x14ac:dyDescent="0.25">
      <c r="A292" s="40" t="s">
        <v>70</v>
      </c>
      <c r="B292" s="41"/>
      <c r="C292" s="5">
        <f>SUM(C289:C291)</f>
        <v>465</v>
      </c>
      <c r="D292" s="5">
        <f>SUM(D289:D291)</f>
        <v>12.596476964769646</v>
      </c>
      <c r="E292" s="5">
        <f>SUM(E289:E291)</f>
        <v>16.662059620596207</v>
      </c>
      <c r="F292" s="5">
        <f>SUM(F289:F291)</f>
        <v>76.029268292682914</v>
      </c>
      <c r="G292" s="5">
        <f>SUM(G289:G291)</f>
        <v>503.75067750677505</v>
      </c>
    </row>
    <row r="293" spans="1:7" ht="4.5" customHeight="1" x14ac:dyDescent="0.25">
      <c r="A293" s="25"/>
      <c r="B293" s="25"/>
      <c r="C293" s="25"/>
      <c r="D293" s="25"/>
      <c r="E293" s="25"/>
      <c r="F293" s="25"/>
      <c r="G293" s="25"/>
    </row>
    <row r="294" spans="1:7" ht="15.75" thickBot="1" x14ac:dyDescent="0.3">
      <c r="A294" s="52" t="s">
        <v>109</v>
      </c>
      <c r="B294" s="52"/>
      <c r="C294" s="25"/>
      <c r="D294" s="25"/>
      <c r="E294" s="25"/>
      <c r="F294" s="25"/>
      <c r="G294" s="25"/>
    </row>
    <row r="295" spans="1:7" ht="15.75" thickBot="1" x14ac:dyDescent="0.3">
      <c r="A295" s="42" t="s">
        <v>0</v>
      </c>
      <c r="B295" s="42" t="s">
        <v>1</v>
      </c>
      <c r="C295" s="1" t="s">
        <v>2</v>
      </c>
      <c r="D295" s="44" t="s">
        <v>4</v>
      </c>
      <c r="E295" s="45"/>
      <c r="F295" s="45"/>
      <c r="G295" s="46"/>
    </row>
    <row r="296" spans="1:7" ht="12.75" customHeight="1" x14ac:dyDescent="0.25">
      <c r="A296" s="43"/>
      <c r="B296" s="43"/>
      <c r="C296" s="4" t="s">
        <v>3</v>
      </c>
      <c r="D296" s="4" t="s">
        <v>5</v>
      </c>
      <c r="E296" s="4" t="s">
        <v>6</v>
      </c>
      <c r="F296" s="4" t="s">
        <v>7</v>
      </c>
      <c r="G296" s="4" t="s">
        <v>8</v>
      </c>
    </row>
    <row r="297" spans="1:7" x14ac:dyDescent="0.25">
      <c r="A297" s="5" t="s">
        <v>21</v>
      </c>
      <c r="B297" s="5" t="s">
        <v>20</v>
      </c>
      <c r="C297" s="5">
        <v>100</v>
      </c>
      <c r="D297" s="5">
        <f>C297*0.4/100</f>
        <v>0.4</v>
      </c>
      <c r="E297" s="5">
        <f>C297*0.4/100</f>
        <v>0.4</v>
      </c>
      <c r="F297" s="5">
        <f>C297*9.8/100</f>
        <v>9.8000000000000007</v>
      </c>
      <c r="G297" s="5">
        <f>C297*44/100</f>
        <v>44</v>
      </c>
    </row>
    <row r="298" spans="1:7" x14ac:dyDescent="0.25">
      <c r="A298" s="40" t="s">
        <v>70</v>
      </c>
      <c r="B298" s="41"/>
      <c r="C298" s="5">
        <v>100</v>
      </c>
      <c r="D298" s="5">
        <f>C298*0.4/100</f>
        <v>0.4</v>
      </c>
      <c r="E298" s="5">
        <f>C298*0.4/100</f>
        <v>0.4</v>
      </c>
      <c r="F298" s="5">
        <f>C298*9.8/100</f>
        <v>9.8000000000000007</v>
      </c>
      <c r="G298" s="5">
        <f>C298*44/100</f>
        <v>44</v>
      </c>
    </row>
    <row r="299" spans="1:7" ht="6" customHeight="1" x14ac:dyDescent="0.25">
      <c r="A299" s="31"/>
      <c r="B299" s="31"/>
      <c r="C299" s="26"/>
      <c r="D299" s="53"/>
      <c r="E299" s="53"/>
      <c r="F299" s="53"/>
      <c r="G299" s="53"/>
    </row>
    <row r="300" spans="1:7" ht="12.75" customHeight="1" thickBot="1" x14ac:dyDescent="0.3">
      <c r="A300" s="6" t="s">
        <v>10</v>
      </c>
      <c r="B300" s="24"/>
      <c r="C300" s="24"/>
      <c r="D300" s="24"/>
      <c r="E300" s="24"/>
      <c r="F300" s="24"/>
      <c r="G300" s="24"/>
    </row>
    <row r="301" spans="1:7" ht="15.75" thickBot="1" x14ac:dyDescent="0.3">
      <c r="A301" s="42" t="s">
        <v>0</v>
      </c>
      <c r="B301" s="42" t="s">
        <v>1</v>
      </c>
      <c r="C301" s="1" t="s">
        <v>2</v>
      </c>
      <c r="D301" s="44" t="s">
        <v>4</v>
      </c>
      <c r="E301" s="45"/>
      <c r="F301" s="45"/>
      <c r="G301" s="46"/>
    </row>
    <row r="302" spans="1:7" ht="15" customHeight="1" x14ac:dyDescent="0.25">
      <c r="A302" s="43"/>
      <c r="B302" s="43"/>
      <c r="C302" s="4" t="s">
        <v>3</v>
      </c>
      <c r="D302" s="4" t="s">
        <v>5</v>
      </c>
      <c r="E302" s="4" t="s">
        <v>6</v>
      </c>
      <c r="F302" s="4" t="s">
        <v>7</v>
      </c>
      <c r="G302" s="4" t="s">
        <v>8</v>
      </c>
    </row>
    <row r="303" spans="1:7" x14ac:dyDescent="0.25">
      <c r="A303" s="5" t="s">
        <v>52</v>
      </c>
      <c r="B303" s="5" t="s">
        <v>51</v>
      </c>
      <c r="C303" s="5">
        <v>200</v>
      </c>
      <c r="D303" s="5">
        <v>1.8600000000000003</v>
      </c>
      <c r="E303" s="5">
        <v>3.7799999999999994</v>
      </c>
      <c r="F303" s="5">
        <v>8.26</v>
      </c>
      <c r="G303" s="5">
        <v>74.599999999999994</v>
      </c>
    </row>
    <row r="304" spans="1:7" x14ac:dyDescent="0.25">
      <c r="A304" s="5" t="s">
        <v>129</v>
      </c>
      <c r="B304" s="5" t="s">
        <v>136</v>
      </c>
      <c r="C304" s="5">
        <v>100</v>
      </c>
      <c r="D304" s="5">
        <v>20</v>
      </c>
      <c r="E304" s="5">
        <v>19.5</v>
      </c>
      <c r="F304" s="5">
        <v>3.3</v>
      </c>
      <c r="G304" s="5">
        <v>258</v>
      </c>
    </row>
    <row r="305" spans="1:7" x14ac:dyDescent="0.25">
      <c r="A305" s="5" t="s">
        <v>61</v>
      </c>
      <c r="B305" s="5" t="s">
        <v>62</v>
      </c>
      <c r="C305" s="5">
        <v>180</v>
      </c>
      <c r="D305" s="5">
        <f>C305*60/1100</f>
        <v>9.8181818181818183</v>
      </c>
      <c r="E305" s="5">
        <f>C305*33.8/1100</f>
        <v>5.5309090909090903</v>
      </c>
      <c r="F305" s="5">
        <f>C305*268.6/1100</f>
        <v>43.95272727272728</v>
      </c>
      <c r="G305" s="5">
        <f>C305*1620/1100</f>
        <v>265.09090909090907</v>
      </c>
    </row>
    <row r="306" spans="1:7" x14ac:dyDescent="0.25">
      <c r="A306" s="5" t="s">
        <v>13</v>
      </c>
      <c r="B306" s="5" t="s">
        <v>14</v>
      </c>
      <c r="C306" s="5">
        <v>200</v>
      </c>
      <c r="D306" s="5">
        <v>0.6</v>
      </c>
      <c r="E306" s="5">
        <v>0.1</v>
      </c>
      <c r="F306" s="5">
        <v>20.100000000000001</v>
      </c>
      <c r="G306" s="5">
        <v>84</v>
      </c>
    </row>
    <row r="307" spans="1:7" x14ac:dyDescent="0.25">
      <c r="A307" s="5" t="s">
        <v>53</v>
      </c>
      <c r="B307" s="5" t="s">
        <v>54</v>
      </c>
      <c r="C307" s="5">
        <v>50</v>
      </c>
      <c r="D307" s="5">
        <f>C307*7.6/100</f>
        <v>3.8</v>
      </c>
      <c r="E307" s="5">
        <f>C307*0.8/100</f>
        <v>0.4</v>
      </c>
      <c r="F307" s="5">
        <f>C307*49.2/100</f>
        <v>24.6</v>
      </c>
      <c r="G307" s="5">
        <f>C307*234/100</f>
        <v>117</v>
      </c>
    </row>
    <row r="308" spans="1:7" x14ac:dyDescent="0.25">
      <c r="A308" s="11" t="s">
        <v>15</v>
      </c>
      <c r="B308" s="11" t="s">
        <v>16</v>
      </c>
      <c r="C308" s="5">
        <v>50</v>
      </c>
      <c r="D308" s="5">
        <f>C308*8/100</f>
        <v>4</v>
      </c>
      <c r="E308" s="5">
        <f>C308*1.5/100</f>
        <v>0.75</v>
      </c>
      <c r="F308" s="5">
        <f>C308*40.1/100</f>
        <v>20.05</v>
      </c>
      <c r="G308" s="5">
        <f>C308*206/100</f>
        <v>103</v>
      </c>
    </row>
    <row r="309" spans="1:7" x14ac:dyDescent="0.25">
      <c r="A309" s="40" t="s">
        <v>17</v>
      </c>
      <c r="B309" s="41"/>
      <c r="C309" s="5">
        <f>SUM(C303:C308)</f>
        <v>780</v>
      </c>
      <c r="D309" s="5">
        <f>SUM(D303:D308)</f>
        <v>40.078181818181818</v>
      </c>
      <c r="E309" s="5">
        <f>SUM(E303:E308)</f>
        <v>30.060909090909092</v>
      </c>
      <c r="F309" s="5">
        <f>SUM(F303:F308)</f>
        <v>120.26272727272728</v>
      </c>
      <c r="G309" s="5">
        <f>SUM(G303:G308)</f>
        <v>901.69090909090914</v>
      </c>
    </row>
    <row r="310" spans="1:7" ht="9" customHeight="1" x14ac:dyDescent="0.25">
      <c r="A310" s="54"/>
      <c r="B310" s="54"/>
      <c r="C310" s="29"/>
      <c r="D310" s="29"/>
      <c r="E310" s="29"/>
      <c r="F310" s="29"/>
      <c r="G310" s="29"/>
    </row>
    <row r="311" spans="1:7" ht="12" customHeight="1" thickBot="1" x14ac:dyDescent="0.3">
      <c r="A311" s="52" t="s">
        <v>110</v>
      </c>
      <c r="B311" s="52"/>
      <c r="C311" s="26"/>
      <c r="D311" s="49"/>
      <c r="E311" s="49"/>
      <c r="F311" s="49"/>
      <c r="G311" s="49"/>
    </row>
    <row r="312" spans="1:7" ht="15.75" thickBot="1" x14ac:dyDescent="0.3">
      <c r="A312" s="42" t="s">
        <v>0</v>
      </c>
      <c r="B312" s="42" t="s">
        <v>1</v>
      </c>
      <c r="C312" s="1" t="s">
        <v>2</v>
      </c>
      <c r="D312" s="44" t="s">
        <v>4</v>
      </c>
      <c r="E312" s="45"/>
      <c r="F312" s="45"/>
      <c r="G312" s="46"/>
    </row>
    <row r="313" spans="1:7" ht="17.25" customHeight="1" x14ac:dyDescent="0.25">
      <c r="A313" s="43"/>
      <c r="B313" s="43"/>
      <c r="C313" s="4" t="s">
        <v>3</v>
      </c>
      <c r="D313" s="4" t="s">
        <v>5</v>
      </c>
      <c r="E313" s="4" t="s">
        <v>6</v>
      </c>
      <c r="F313" s="4" t="s">
        <v>7</v>
      </c>
      <c r="G313" s="4" t="s">
        <v>8</v>
      </c>
    </row>
    <row r="314" spans="1:7" x14ac:dyDescent="0.25">
      <c r="A314" s="5" t="s">
        <v>65</v>
      </c>
      <c r="B314" s="5" t="s">
        <v>66</v>
      </c>
      <c r="C314" s="5">
        <v>35</v>
      </c>
      <c r="D314" s="5">
        <f>C314*3.2/60</f>
        <v>1.8666666666666667</v>
      </c>
      <c r="E314" s="5">
        <f>C314*2.7/60</f>
        <v>1.575</v>
      </c>
      <c r="F314" s="5">
        <f>C314*17.9/60</f>
        <v>10.441666666666666</v>
      </c>
      <c r="G314" s="5">
        <f>C314*109/60</f>
        <v>63.583333333333336</v>
      </c>
    </row>
    <row r="315" spans="1:7" x14ac:dyDescent="0.25">
      <c r="A315" s="5" t="s">
        <v>122</v>
      </c>
      <c r="B315" s="5" t="s">
        <v>123</v>
      </c>
      <c r="C315" s="5">
        <v>25</v>
      </c>
      <c r="D315" s="5">
        <f>C315*33.8/1000</f>
        <v>0.84499999999999986</v>
      </c>
      <c r="E315" s="5">
        <f>C315*58.9/1000</f>
        <v>1.4724999999999999</v>
      </c>
      <c r="F315" s="5">
        <f>C315*44/1000</f>
        <v>1.1000000000000001</v>
      </c>
      <c r="G315" s="5">
        <f>C315*841/1000</f>
        <v>21.024999999999999</v>
      </c>
    </row>
    <row r="316" spans="1:7" x14ac:dyDescent="0.25">
      <c r="A316" s="5" t="s">
        <v>13</v>
      </c>
      <c r="B316" s="5" t="s">
        <v>14</v>
      </c>
      <c r="C316" s="5">
        <v>200</v>
      </c>
      <c r="D316" s="5">
        <f>C316*0.6/200</f>
        <v>0.6</v>
      </c>
      <c r="E316" s="5">
        <f>C316*0.1/200</f>
        <v>0.1</v>
      </c>
      <c r="F316" s="5">
        <f>C316*20.1/200</f>
        <v>20.100000000000001</v>
      </c>
      <c r="G316" s="5">
        <f>C316*84/200</f>
        <v>84</v>
      </c>
    </row>
    <row r="317" spans="1:7" x14ac:dyDescent="0.25">
      <c r="A317" s="40" t="s">
        <v>70</v>
      </c>
      <c r="B317" s="41"/>
      <c r="C317" s="5">
        <f>SUM(C314:C316)</f>
        <v>260</v>
      </c>
      <c r="D317" s="5">
        <f>SUM(D314:D316)</f>
        <v>3.3116666666666665</v>
      </c>
      <c r="E317" s="5">
        <f>SUM(E314:E316)</f>
        <v>3.1475</v>
      </c>
      <c r="F317" s="5">
        <f>SUM(F314:F316)</f>
        <v>31.641666666666666</v>
      </c>
      <c r="G317" s="5">
        <f>SUM(G314:G316)</f>
        <v>168.60833333333335</v>
      </c>
    </row>
    <row r="318" spans="1:7" ht="26.25" customHeight="1" x14ac:dyDescent="0.25">
      <c r="A318" s="19"/>
      <c r="B318" s="25"/>
      <c r="C318" s="25"/>
      <c r="D318" s="25"/>
      <c r="E318" s="25"/>
      <c r="F318" s="25"/>
      <c r="G318" s="25"/>
    </row>
    <row r="319" spans="1:7" x14ac:dyDescent="0.25">
      <c r="A319" s="51" t="s">
        <v>67</v>
      </c>
      <c r="B319" s="51"/>
      <c r="C319" s="5">
        <f>C292+C298+C309+C317</f>
        <v>1605</v>
      </c>
      <c r="D319" s="5">
        <f>D292+D298+D309+D317</f>
        <v>56.386325449618134</v>
      </c>
      <c r="E319" s="28">
        <f>E292+E298+E309+E317</f>
        <v>50.270468711505295</v>
      </c>
      <c r="F319" s="5">
        <f>F292+F298+F309+F317</f>
        <v>237.73366223207682</v>
      </c>
      <c r="G319" s="5">
        <f>G292+G298+G309+G317</f>
        <v>1618.0499199310175</v>
      </c>
    </row>
    <row r="320" spans="1:7" x14ac:dyDescent="0.25">
      <c r="A320" s="36"/>
      <c r="B320" s="36"/>
      <c r="C320" s="36"/>
      <c r="D320" s="36"/>
      <c r="E320" s="37"/>
      <c r="F320" s="36"/>
      <c r="G320" s="36"/>
    </row>
    <row r="321" spans="1:7" x14ac:dyDescent="0.25">
      <c r="A321" s="36"/>
      <c r="B321" s="36"/>
      <c r="C321" s="36"/>
      <c r="D321" s="36"/>
      <c r="E321" s="37"/>
      <c r="F321" s="36"/>
      <c r="G321" s="36"/>
    </row>
    <row r="322" spans="1:7" x14ac:dyDescent="0.25">
      <c r="A322" s="2" t="s">
        <v>48</v>
      </c>
      <c r="B322" s="24"/>
      <c r="C322" s="24"/>
      <c r="D322" s="24"/>
      <c r="E322" s="24"/>
      <c r="F322" s="24"/>
      <c r="G322" s="24"/>
    </row>
    <row r="323" spans="1:7" ht="15.75" thickBot="1" x14ac:dyDescent="0.3">
      <c r="A323" s="17" t="s">
        <v>69</v>
      </c>
      <c r="B323" s="2"/>
      <c r="C323" s="2"/>
      <c r="D323" s="2"/>
      <c r="E323" s="2"/>
      <c r="F323" s="2"/>
      <c r="G323" s="2"/>
    </row>
    <row r="324" spans="1:7" ht="15.75" thickBot="1" x14ac:dyDescent="0.3">
      <c r="A324" s="42" t="s">
        <v>0</v>
      </c>
      <c r="B324" s="42" t="s">
        <v>1</v>
      </c>
      <c r="C324" s="1" t="s">
        <v>2</v>
      </c>
      <c r="D324" s="44" t="s">
        <v>4</v>
      </c>
      <c r="E324" s="45"/>
      <c r="F324" s="45"/>
      <c r="G324" s="46"/>
    </row>
    <row r="325" spans="1:7" ht="26.25" x14ac:dyDescent="0.25">
      <c r="A325" s="43"/>
      <c r="B325" s="43"/>
      <c r="C325" s="4" t="s">
        <v>3</v>
      </c>
      <c r="D325" s="4" t="s">
        <v>5</v>
      </c>
      <c r="E325" s="4" t="s">
        <v>6</v>
      </c>
      <c r="F325" s="4" t="s">
        <v>7</v>
      </c>
      <c r="G325" s="4" t="s">
        <v>8</v>
      </c>
    </row>
    <row r="326" spans="1:7" x14ac:dyDescent="0.25">
      <c r="A326" s="5" t="s">
        <v>93</v>
      </c>
      <c r="B326" s="7" t="s">
        <v>94</v>
      </c>
      <c r="C326" s="5">
        <v>200</v>
      </c>
      <c r="D326" s="5">
        <v>7.5853658536585362</v>
      </c>
      <c r="E326" s="5">
        <v>8.0487804878048781</v>
      </c>
      <c r="F326" s="5">
        <v>38.097560975609753</v>
      </c>
      <c r="G326" s="5">
        <v>254.8780487804878</v>
      </c>
    </row>
    <row r="327" spans="1:7" x14ac:dyDescent="0.25">
      <c r="A327" s="5" t="s">
        <v>73</v>
      </c>
      <c r="B327" s="5" t="s">
        <v>74</v>
      </c>
      <c r="C327" s="5">
        <v>50</v>
      </c>
      <c r="D327" s="5">
        <f>C327*1.6/35</f>
        <v>2.2857142857142856</v>
      </c>
      <c r="E327" s="5">
        <f>C327*11/35</f>
        <v>15.714285714285714</v>
      </c>
      <c r="F327" s="5">
        <f>C327*10/35</f>
        <v>14.285714285714286</v>
      </c>
      <c r="G327" s="5">
        <f>C327*146/35</f>
        <v>208.57142857142858</v>
      </c>
    </row>
    <row r="328" spans="1:7" x14ac:dyDescent="0.25">
      <c r="A328" s="5" t="s">
        <v>75</v>
      </c>
      <c r="B328" s="5" t="s">
        <v>76</v>
      </c>
      <c r="C328" s="5">
        <v>200</v>
      </c>
      <c r="D328" s="5">
        <f>C328*3.3/200</f>
        <v>3.3</v>
      </c>
      <c r="E328" s="5">
        <f>C328*2.9/200</f>
        <v>2.9</v>
      </c>
      <c r="F328" s="5">
        <f>C328*13.8/200</f>
        <v>13.8</v>
      </c>
      <c r="G328" s="5">
        <f>C328*94/200</f>
        <v>94</v>
      </c>
    </row>
    <row r="329" spans="1:7" x14ac:dyDescent="0.25">
      <c r="A329" s="40" t="s">
        <v>70</v>
      </c>
      <c r="B329" s="41"/>
      <c r="C329" s="5">
        <f>SUM(C326:C328)</f>
        <v>450</v>
      </c>
      <c r="D329" s="5">
        <f>SUM(D326:D328)</f>
        <v>13.171080139372823</v>
      </c>
      <c r="E329" s="5">
        <f>SUM(E326:E328)</f>
        <v>26.66306620209059</v>
      </c>
      <c r="F329" s="5">
        <f>SUM(F326:F328)</f>
        <v>66.183275261324042</v>
      </c>
      <c r="G329" s="5">
        <f>SUM(G326:G328)</f>
        <v>557.44947735191636</v>
      </c>
    </row>
    <row r="330" spans="1:7" ht="3.75" customHeight="1" x14ac:dyDescent="0.25"/>
    <row r="331" spans="1:7" ht="15.75" thickBot="1" x14ac:dyDescent="0.3">
      <c r="A331" s="52" t="s">
        <v>109</v>
      </c>
      <c r="B331" s="52"/>
      <c r="C331" s="25"/>
      <c r="D331" s="25"/>
      <c r="E331" s="25"/>
      <c r="F331" s="25"/>
      <c r="G331" s="25"/>
    </row>
    <row r="332" spans="1:7" ht="15.75" thickBot="1" x14ac:dyDescent="0.3">
      <c r="A332" s="42" t="s">
        <v>0</v>
      </c>
      <c r="B332" s="42" t="s">
        <v>1</v>
      </c>
      <c r="C332" s="1" t="s">
        <v>2</v>
      </c>
      <c r="D332" s="44" t="s">
        <v>4</v>
      </c>
      <c r="E332" s="45"/>
      <c r="F332" s="45"/>
      <c r="G332" s="46"/>
    </row>
    <row r="333" spans="1:7" ht="26.25" x14ac:dyDescent="0.25">
      <c r="A333" s="43"/>
      <c r="B333" s="43"/>
      <c r="C333" s="4" t="s">
        <v>3</v>
      </c>
      <c r="D333" s="4" t="s">
        <v>5</v>
      </c>
      <c r="E333" s="4" t="s">
        <v>6</v>
      </c>
      <c r="F333" s="4" t="s">
        <v>7</v>
      </c>
      <c r="G333" s="4" t="s">
        <v>8</v>
      </c>
    </row>
    <row r="334" spans="1:7" x14ac:dyDescent="0.25">
      <c r="A334" s="5" t="s">
        <v>115</v>
      </c>
      <c r="B334" s="5" t="s">
        <v>116</v>
      </c>
      <c r="C334" s="5">
        <v>200</v>
      </c>
      <c r="D334" s="5">
        <f>C334*0.5/100</f>
        <v>1</v>
      </c>
      <c r="E334" s="5">
        <f>C334*0.1/100</f>
        <v>0.2</v>
      </c>
      <c r="F334" s="5">
        <f>C334*10.1/100</f>
        <v>20.2</v>
      </c>
      <c r="G334" s="5">
        <f>C334*43/100</f>
        <v>86</v>
      </c>
    </row>
    <row r="335" spans="1:7" x14ac:dyDescent="0.25">
      <c r="A335" s="40" t="s">
        <v>70</v>
      </c>
      <c r="B335" s="41"/>
      <c r="C335" s="5">
        <v>200</v>
      </c>
      <c r="D335" s="5">
        <f>C335*0.5/100</f>
        <v>1</v>
      </c>
      <c r="E335" s="5">
        <f>C335*0.1/100</f>
        <v>0.2</v>
      </c>
      <c r="F335" s="5">
        <f>C335*10.1/100</f>
        <v>20.2</v>
      </c>
      <c r="G335" s="5">
        <f>C335*43/100</f>
        <v>86</v>
      </c>
    </row>
    <row r="336" spans="1:7" ht="4.5" customHeight="1" x14ac:dyDescent="0.25"/>
    <row r="337" spans="1:7" ht="15.75" thickBot="1" x14ac:dyDescent="0.3">
      <c r="A337" s="6" t="s">
        <v>10</v>
      </c>
      <c r="B337" s="24"/>
      <c r="C337" s="24"/>
      <c r="D337" s="24"/>
      <c r="E337" s="24"/>
      <c r="F337" s="24"/>
      <c r="G337" s="24"/>
    </row>
    <row r="338" spans="1:7" ht="15.75" thickBot="1" x14ac:dyDescent="0.3">
      <c r="A338" s="42" t="s">
        <v>0</v>
      </c>
      <c r="B338" s="42" t="s">
        <v>1</v>
      </c>
      <c r="C338" s="1" t="s">
        <v>2</v>
      </c>
      <c r="D338" s="44" t="s">
        <v>4</v>
      </c>
      <c r="E338" s="45"/>
      <c r="F338" s="45"/>
      <c r="G338" s="46"/>
    </row>
    <row r="339" spans="1:7" ht="26.25" x14ac:dyDescent="0.25">
      <c r="A339" s="43"/>
      <c r="B339" s="43"/>
      <c r="C339" s="4" t="s">
        <v>3</v>
      </c>
      <c r="D339" s="4" t="s">
        <v>5</v>
      </c>
      <c r="E339" s="4" t="s">
        <v>6</v>
      </c>
      <c r="F339" s="4" t="s">
        <v>7</v>
      </c>
      <c r="G339" s="4" t="s">
        <v>8</v>
      </c>
    </row>
    <row r="340" spans="1:7" x14ac:dyDescent="0.25">
      <c r="A340" s="5" t="s">
        <v>41</v>
      </c>
      <c r="B340" s="5" t="s">
        <v>42</v>
      </c>
      <c r="C340" s="5">
        <v>180</v>
      </c>
      <c r="D340" s="5">
        <f>C340*11.1/1000</f>
        <v>1.998</v>
      </c>
      <c r="E340" s="5">
        <f>C340*14.1/1000</f>
        <v>2.5379999999999998</v>
      </c>
      <c r="F340" s="5">
        <f>C340*39.2/1000</f>
        <v>7.0560000000000009</v>
      </c>
      <c r="G340" s="5">
        <f>C340*328/1000</f>
        <v>59.04</v>
      </c>
    </row>
    <row r="341" spans="1:7" ht="30" x14ac:dyDescent="0.25">
      <c r="A341" s="5" t="s">
        <v>38</v>
      </c>
      <c r="B341" s="7" t="s">
        <v>36</v>
      </c>
      <c r="C341" s="5">
        <v>80</v>
      </c>
      <c r="D341" s="5">
        <f>C341*14/70</f>
        <v>16</v>
      </c>
      <c r="E341" s="5">
        <f>C341*12.6/70</f>
        <v>14.4</v>
      </c>
      <c r="F341" s="5">
        <f>C341*7.5/70</f>
        <v>8.5714285714285712</v>
      </c>
      <c r="G341" s="5">
        <f>C341*199/70</f>
        <v>227.42857142857142</v>
      </c>
    </row>
    <row r="342" spans="1:7" x14ac:dyDescent="0.25">
      <c r="A342" s="5" t="s">
        <v>33</v>
      </c>
      <c r="B342" s="5" t="s">
        <v>34</v>
      </c>
      <c r="C342" s="5">
        <v>150</v>
      </c>
      <c r="D342" s="5">
        <f>C342*2.7/100</f>
        <v>4.05</v>
      </c>
      <c r="E342" s="5">
        <f>C342*4/100</f>
        <v>6</v>
      </c>
      <c r="F342" s="5">
        <f>C342*5.8/100</f>
        <v>8.6999999999999993</v>
      </c>
      <c r="G342" s="5">
        <f>C342*70/100</f>
        <v>105</v>
      </c>
    </row>
    <row r="343" spans="1:7" x14ac:dyDescent="0.25">
      <c r="A343" s="5" t="s">
        <v>22</v>
      </c>
      <c r="B343" s="5" t="s">
        <v>19</v>
      </c>
      <c r="C343" s="5">
        <v>200</v>
      </c>
      <c r="D343" s="5">
        <f>C343*0.2/200</f>
        <v>0.2</v>
      </c>
      <c r="E343" s="5">
        <f>C343*0.1/200</f>
        <v>0.1</v>
      </c>
      <c r="F343" s="5">
        <f>C343*9.3/200</f>
        <v>9.3000000000000007</v>
      </c>
      <c r="G343" s="5">
        <f>C343*38/200</f>
        <v>38</v>
      </c>
    </row>
    <row r="344" spans="1:7" x14ac:dyDescent="0.25">
      <c r="A344" s="5" t="s">
        <v>53</v>
      </c>
      <c r="B344" s="5" t="s">
        <v>54</v>
      </c>
      <c r="C344" s="5">
        <v>50</v>
      </c>
      <c r="D344" s="5">
        <f>C344*7.6/100</f>
        <v>3.8</v>
      </c>
      <c r="E344" s="5">
        <f>C344*0.8/100</f>
        <v>0.4</v>
      </c>
      <c r="F344" s="5">
        <f>C344*49.2/100</f>
        <v>24.6</v>
      </c>
      <c r="G344" s="5">
        <f>C344*234/100</f>
        <v>117</v>
      </c>
    </row>
    <row r="345" spans="1:7" x14ac:dyDescent="0.25">
      <c r="A345" s="11" t="s">
        <v>15</v>
      </c>
      <c r="B345" s="11" t="s">
        <v>16</v>
      </c>
      <c r="C345" s="11">
        <v>50</v>
      </c>
      <c r="D345" s="11">
        <f>C345*8/100</f>
        <v>4</v>
      </c>
      <c r="E345" s="11">
        <f>C345*1.5/100</f>
        <v>0.75</v>
      </c>
      <c r="F345" s="11">
        <f>C345*40.1/100</f>
        <v>20.05</v>
      </c>
      <c r="G345" s="11">
        <f>C345*206/100</f>
        <v>103</v>
      </c>
    </row>
    <row r="346" spans="1:7" x14ac:dyDescent="0.25">
      <c r="A346" s="40" t="s">
        <v>17</v>
      </c>
      <c r="B346" s="41"/>
      <c r="C346" s="5">
        <f>SUM(C340:C345)</f>
        <v>710</v>
      </c>
      <c r="D346" s="5">
        <f>SUM(D340:D345)</f>
        <v>30.048000000000002</v>
      </c>
      <c r="E346" s="5">
        <f>SUM(E340:E345)</f>
        <v>24.187999999999999</v>
      </c>
      <c r="F346" s="5">
        <f>SUM(F340:F345)</f>
        <v>78.277428571428572</v>
      </c>
      <c r="G346" s="5">
        <f>SUM(G340:G345)</f>
        <v>649.46857142857141</v>
      </c>
    </row>
    <row r="347" spans="1:7" ht="5.25" customHeight="1" x14ac:dyDescent="0.25"/>
    <row r="348" spans="1:7" ht="15.75" thickBot="1" x14ac:dyDescent="0.3">
      <c r="A348" s="29" t="s">
        <v>110</v>
      </c>
      <c r="B348" s="25"/>
      <c r="C348" s="25"/>
      <c r="D348" s="25"/>
      <c r="E348" s="25"/>
      <c r="F348" s="25"/>
      <c r="G348" s="25"/>
    </row>
    <row r="349" spans="1:7" ht="15.75" thickBot="1" x14ac:dyDescent="0.3">
      <c r="A349" s="42" t="s">
        <v>0</v>
      </c>
      <c r="B349" s="42" t="s">
        <v>1</v>
      </c>
      <c r="C349" s="1" t="s">
        <v>2</v>
      </c>
      <c r="D349" s="44" t="s">
        <v>4</v>
      </c>
      <c r="E349" s="45"/>
      <c r="F349" s="45"/>
      <c r="G349" s="46"/>
    </row>
    <row r="350" spans="1:7" ht="26.25" x14ac:dyDescent="0.25">
      <c r="A350" s="43"/>
      <c r="B350" s="43"/>
      <c r="C350" s="4" t="s">
        <v>3</v>
      </c>
      <c r="D350" s="4" t="s">
        <v>5</v>
      </c>
      <c r="E350" s="4" t="s">
        <v>6</v>
      </c>
      <c r="F350" s="4" t="s">
        <v>7</v>
      </c>
      <c r="G350" s="4" t="s">
        <v>8</v>
      </c>
    </row>
    <row r="351" spans="1:7" x14ac:dyDescent="0.25">
      <c r="A351" s="5" t="s">
        <v>125</v>
      </c>
      <c r="B351" s="5" t="s">
        <v>126</v>
      </c>
      <c r="C351" s="5">
        <v>165</v>
      </c>
      <c r="D351" s="5">
        <v>12.6</v>
      </c>
      <c r="E351" s="5">
        <v>19.600000000000001</v>
      </c>
      <c r="F351" s="5">
        <v>50.6</v>
      </c>
      <c r="G351" s="5">
        <v>429</v>
      </c>
    </row>
    <row r="352" spans="1:7" x14ac:dyDescent="0.25">
      <c r="A352" s="5" t="s">
        <v>22</v>
      </c>
      <c r="B352" s="5" t="s">
        <v>19</v>
      </c>
      <c r="C352" s="5">
        <v>200</v>
      </c>
      <c r="D352" s="5">
        <v>0.2</v>
      </c>
      <c r="E352" s="5">
        <v>0.1</v>
      </c>
      <c r="F352" s="5">
        <v>9.3000000000000007</v>
      </c>
      <c r="G352" s="5">
        <v>38</v>
      </c>
    </row>
    <row r="353" spans="1:7" x14ac:dyDescent="0.25">
      <c r="A353" s="40" t="s">
        <v>70</v>
      </c>
      <c r="B353" s="41"/>
      <c r="C353" s="5">
        <f>SUM(C351:C352)</f>
        <v>365</v>
      </c>
      <c r="D353" s="5">
        <f>SUM(D351:D352)</f>
        <v>12.799999999999999</v>
      </c>
      <c r="E353" s="5">
        <f>SUM(E351:E352)</f>
        <v>19.700000000000003</v>
      </c>
      <c r="F353" s="5">
        <f>SUM(F351:F352)</f>
        <v>59.900000000000006</v>
      </c>
      <c r="G353" s="5">
        <f>SUM(G351:G352)</f>
        <v>467</v>
      </c>
    </row>
    <row r="354" spans="1:7" ht="6" customHeight="1" x14ac:dyDescent="0.25">
      <c r="A354" s="25"/>
      <c r="B354" s="22"/>
      <c r="C354" s="25"/>
      <c r="D354" s="25"/>
      <c r="E354" s="25"/>
      <c r="F354" s="25"/>
      <c r="G354" s="25"/>
    </row>
    <row r="355" spans="1:7" x14ac:dyDescent="0.25">
      <c r="A355" s="51" t="s">
        <v>67</v>
      </c>
      <c r="B355" s="51"/>
      <c r="C355" s="5">
        <f>C329+C335+C346+C353</f>
        <v>1725</v>
      </c>
      <c r="D355" s="5">
        <f>D329+D335+D346+D353</f>
        <v>57.019080139372818</v>
      </c>
      <c r="E355" s="5">
        <f>E329+E335+E346+E353</f>
        <v>70.751066202090584</v>
      </c>
      <c r="F355" s="5">
        <f>F329+F335+F346+F353</f>
        <v>224.56070383275264</v>
      </c>
      <c r="G355" s="5">
        <f>G329+G335+G346+G353</f>
        <v>1759.9180487804879</v>
      </c>
    </row>
    <row r="357" spans="1:7" x14ac:dyDescent="0.25">
      <c r="A357" s="38" t="s">
        <v>68</v>
      </c>
      <c r="B357" s="39"/>
      <c r="C357" s="14">
        <f>(C35+C70+C108+C144+C179+C213+C248+C284+C319+C355)/10</f>
        <v>1643.5</v>
      </c>
      <c r="D357" s="14">
        <f>(D35+D70+D108+D144+D179+D213+D248+D284+D319+D355)/10</f>
        <v>49.695646186604726</v>
      </c>
      <c r="E357" s="14">
        <f>(E35+E70+E108+E144+E179+E213+E248+E284+E319+E355)/10</f>
        <v>55.559776984126984</v>
      </c>
      <c r="F357" s="14">
        <f>(F35+F70+F108+F144+F179+F213+F248+F284+F319+F355)/10</f>
        <v>226.22336926054973</v>
      </c>
      <c r="G357" s="14">
        <f>(G35+G70+G108+G144+G179+G213+G248+G284+G319+G355)/10</f>
        <v>1601.6092061556333</v>
      </c>
    </row>
  </sheetData>
  <mergeCells count="193">
    <mergeCell ref="D125:G125"/>
    <mergeCell ref="A152:B152"/>
    <mergeCell ref="A1:G1"/>
    <mergeCell ref="A4:A5"/>
    <mergeCell ref="B4:B5"/>
    <mergeCell ref="D4:G4"/>
    <mergeCell ref="A9:B9"/>
    <mergeCell ref="A18:A19"/>
    <mergeCell ref="B18:B19"/>
    <mergeCell ref="D18:G18"/>
    <mergeCell ref="A15:B15"/>
    <mergeCell ref="A11:B11"/>
    <mergeCell ref="A12:A13"/>
    <mergeCell ref="B12:B13"/>
    <mergeCell ref="D12:G12"/>
    <mergeCell ref="D138:G138"/>
    <mergeCell ref="A144:B144"/>
    <mergeCell ref="A147:A148"/>
    <mergeCell ref="B147:B148"/>
    <mergeCell ref="D147:G147"/>
    <mergeCell ref="A111:A112"/>
    <mergeCell ref="B111:B112"/>
    <mergeCell ref="A116:B116"/>
    <mergeCell ref="A125:A126"/>
    <mergeCell ref="B173:B174"/>
    <mergeCell ref="A158:B158"/>
    <mergeCell ref="A142:B142"/>
    <mergeCell ref="B138:B139"/>
    <mergeCell ref="B230:B231"/>
    <mergeCell ref="D230:G230"/>
    <mergeCell ref="A211:B211"/>
    <mergeCell ref="A213:B213"/>
    <mergeCell ref="A227:B227"/>
    <mergeCell ref="A216:A217"/>
    <mergeCell ref="B216:B217"/>
    <mergeCell ref="D216:G216"/>
    <mergeCell ref="A221:B221"/>
    <mergeCell ref="D173:G173"/>
    <mergeCell ref="A177:B177"/>
    <mergeCell ref="A179:B179"/>
    <mergeCell ref="A182:A183"/>
    <mergeCell ref="B182:B183"/>
    <mergeCell ref="D182:G182"/>
    <mergeCell ref="A311:B311"/>
    <mergeCell ref="D311:G311"/>
    <mergeCell ref="A282:B282"/>
    <mergeCell ref="A284:B284"/>
    <mergeCell ref="A287:A288"/>
    <mergeCell ref="B287:B288"/>
    <mergeCell ref="A298:B298"/>
    <mergeCell ref="A301:A302"/>
    <mergeCell ref="B301:B302"/>
    <mergeCell ref="D301:G301"/>
    <mergeCell ref="D287:G287"/>
    <mergeCell ref="A292:B292"/>
    <mergeCell ref="A294:B294"/>
    <mergeCell ref="A295:A296"/>
    <mergeCell ref="B295:B296"/>
    <mergeCell ref="D295:G295"/>
    <mergeCell ref="B125:B126"/>
    <mergeCell ref="D299:G299"/>
    <mergeCell ref="A310:B310"/>
    <mergeCell ref="A309:B309"/>
    <mergeCell ref="A207:A208"/>
    <mergeCell ref="B207:B208"/>
    <mergeCell ref="D207:G207"/>
    <mergeCell ref="A230:A231"/>
    <mergeCell ref="A161:A162"/>
    <mergeCell ref="B161:B162"/>
    <mergeCell ref="D161:G161"/>
    <mergeCell ref="A135:B135"/>
    <mergeCell ref="A138:A139"/>
    <mergeCell ref="A246:B246"/>
    <mergeCell ref="A248:B248"/>
    <mergeCell ref="A239:B239"/>
    <mergeCell ref="A170:B170"/>
    <mergeCell ref="A173:A174"/>
    <mergeCell ref="A187:B187"/>
    <mergeCell ref="A190:A191"/>
    <mergeCell ref="B190:B191"/>
    <mergeCell ref="D190:G190"/>
    <mergeCell ref="A189:B189"/>
    <mergeCell ref="A275:B275"/>
    <mergeCell ref="A28:B28"/>
    <mergeCell ref="A29:A30"/>
    <mergeCell ref="B29:B30"/>
    <mergeCell ref="D29:G29"/>
    <mergeCell ref="A33:B33"/>
    <mergeCell ref="A46:B46"/>
    <mergeCell ref="D241:G241"/>
    <mergeCell ref="A242:A243"/>
    <mergeCell ref="B242:B243"/>
    <mergeCell ref="A223:B223"/>
    <mergeCell ref="A224:A225"/>
    <mergeCell ref="B224:B225"/>
    <mergeCell ref="D224:G224"/>
    <mergeCell ref="D242:G242"/>
    <mergeCell ref="A154:B154"/>
    <mergeCell ref="A155:A156"/>
    <mergeCell ref="B155:B156"/>
    <mergeCell ref="D155:G155"/>
    <mergeCell ref="A193:B193"/>
    <mergeCell ref="A196:A197"/>
    <mergeCell ref="B196:B197"/>
    <mergeCell ref="D196:G196"/>
    <mergeCell ref="A204:B204"/>
    <mergeCell ref="A206:B206"/>
    <mergeCell ref="A62:B62"/>
    <mergeCell ref="A64:A65"/>
    <mergeCell ref="B64:B65"/>
    <mergeCell ref="A44:B44"/>
    <mergeCell ref="A47:A48"/>
    <mergeCell ref="B47:B48"/>
    <mergeCell ref="D47:G47"/>
    <mergeCell ref="A50:B50"/>
    <mergeCell ref="A53:A54"/>
    <mergeCell ref="B53:B54"/>
    <mergeCell ref="D53:G53"/>
    <mergeCell ref="A90:A91"/>
    <mergeCell ref="B90:B91"/>
    <mergeCell ref="D90:G90"/>
    <mergeCell ref="A99:B99"/>
    <mergeCell ref="D64:G64"/>
    <mergeCell ref="A68:B68"/>
    <mergeCell ref="A70:B70"/>
    <mergeCell ref="A122:B122"/>
    <mergeCell ref="D63:G63"/>
    <mergeCell ref="A76:A77"/>
    <mergeCell ref="B76:B77"/>
    <mergeCell ref="D76:G76"/>
    <mergeCell ref="D111:G111"/>
    <mergeCell ref="A81:B81"/>
    <mergeCell ref="A83:B83"/>
    <mergeCell ref="A84:A85"/>
    <mergeCell ref="B84:B85"/>
    <mergeCell ref="A260:A261"/>
    <mergeCell ref="B260:B261"/>
    <mergeCell ref="D260:G260"/>
    <mergeCell ref="A266:A267"/>
    <mergeCell ref="B266:B267"/>
    <mergeCell ref="D266:G266"/>
    <mergeCell ref="A263:B263"/>
    <mergeCell ref="A26:B26"/>
    <mergeCell ref="A35:B35"/>
    <mergeCell ref="A38:A39"/>
    <mergeCell ref="B38:B39"/>
    <mergeCell ref="D38:G38"/>
    <mergeCell ref="A118:B118"/>
    <mergeCell ref="A119:A120"/>
    <mergeCell ref="B119:B120"/>
    <mergeCell ref="D119:G119"/>
    <mergeCell ref="A63:B63"/>
    <mergeCell ref="A102:A103"/>
    <mergeCell ref="B102:B103"/>
    <mergeCell ref="D102:G102"/>
    <mergeCell ref="A106:B106"/>
    <mergeCell ref="A108:B108"/>
    <mergeCell ref="D84:G84"/>
    <mergeCell ref="A87:B87"/>
    <mergeCell ref="A241:B241"/>
    <mergeCell ref="A329:B329"/>
    <mergeCell ref="A331:B331"/>
    <mergeCell ref="A332:A333"/>
    <mergeCell ref="B332:B333"/>
    <mergeCell ref="D332:G332"/>
    <mergeCell ref="A335:B335"/>
    <mergeCell ref="A312:A313"/>
    <mergeCell ref="B312:B313"/>
    <mergeCell ref="D312:G312"/>
    <mergeCell ref="A317:B317"/>
    <mergeCell ref="A319:B319"/>
    <mergeCell ref="A324:A325"/>
    <mergeCell ref="B324:B325"/>
    <mergeCell ref="D324:G324"/>
    <mergeCell ref="A277:B277"/>
    <mergeCell ref="A278:A279"/>
    <mergeCell ref="B278:B279"/>
    <mergeCell ref="D278:G278"/>
    <mergeCell ref="A252:A253"/>
    <mergeCell ref="B252:B253"/>
    <mergeCell ref="D252:G252"/>
    <mergeCell ref="A257:B257"/>
    <mergeCell ref="A259:B259"/>
    <mergeCell ref="A353:B353"/>
    <mergeCell ref="A355:B355"/>
    <mergeCell ref="A357:B357"/>
    <mergeCell ref="A338:A339"/>
    <mergeCell ref="B338:B339"/>
    <mergeCell ref="D338:G338"/>
    <mergeCell ref="A346:B346"/>
    <mergeCell ref="A349:A350"/>
    <mergeCell ref="B349:B350"/>
    <mergeCell ref="D349:G349"/>
  </mergeCells>
  <pageMargins left="0.7" right="0.7" top="0.30208333333333331" bottom="0.30208333333333331" header="0.3" footer="0.3"/>
  <pageSetup paperSize="9" orientation="landscape" horizontalDpi="180" verticalDpi="180" r:id="rId1"/>
  <headerFooter>
    <oddHeader xml:space="preserve">&amp;L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Питание детей 1-4 кл. (бесп.) </vt:lpstr>
      <vt:lpstr>Питание детей с ОВЗ (бесп.)</vt:lpstr>
      <vt:lpstr>Питание детей 5-11 кл. (бесп.)</vt:lpstr>
      <vt:lpstr>Питание детей 5-11 кл. (плат.)</vt:lpstr>
      <vt:lpstr>Питание детей с ДОУ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2025-02-13T08:39:29Z</dcterms:modified>
</cp:coreProperties>
</file>